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15_給付\ホームページ関係\R8.7任継様式更新・標準処理期間更新・紛失届\"/>
    </mc:Choice>
  </mc:AlternateContent>
  <xr:revisionPtr revIDLastSave="0" documentId="13_ncr:1_{4631FC11-E518-4A50-A8F8-C62AA58DB3E1}" xr6:coauthVersionLast="47" xr6:coauthVersionMax="47" xr10:uidLastSave="{00000000-0000-0000-0000-000000000000}"/>
  <bookViews>
    <workbookView xWindow="-120" yWindow="-120" windowWidth="29040" windowHeight="15720" xr2:uid="{6534167B-C50E-47DA-8E25-DFA906F9ABB2}"/>
  </bookViews>
  <sheets>
    <sheet name="試算（１年目）" sheetId="5" r:id="rId1"/>
    <sheet name="試算（２年目）" sheetId="7" r:id="rId2"/>
    <sheet name="掛金率等" sheetId="3" state="hidden" r:id="rId3"/>
    <sheet name="Sheet1" sheetId="6" state="hidden" r:id="rId4"/>
  </sheets>
  <definedNames>
    <definedName name="_xlnm.Print_Area" localSheetId="0">'試算（１年目）'!$A$1:$N$39</definedName>
    <definedName name="_xlnm.Print_Area" localSheetId="1">'試算（２年目）'!$A$1:$N$39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5" l="1"/>
  <c r="L29" i="7"/>
  <c r="T7" i="7"/>
  <c r="L5" i="7"/>
  <c r="T4" i="7"/>
  <c r="L4" i="7"/>
  <c r="Q3" i="7"/>
  <c r="T2" i="7"/>
  <c r="T3" i="7" s="1"/>
  <c r="Q2" i="7"/>
  <c r="K1" i="7"/>
  <c r="J1" i="7"/>
  <c r="L30" i="5"/>
  <c r="T7" i="5"/>
  <c r="Y7" i="7" l="1"/>
  <c r="V3" i="7"/>
  <c r="U3" i="7"/>
  <c r="V2" i="7"/>
  <c r="U2" i="7"/>
  <c r="Q2" i="5"/>
  <c r="Q3" i="5"/>
  <c r="L4" i="5"/>
  <c r="L5" i="5"/>
  <c r="J1" i="5"/>
  <c r="K1" i="5"/>
  <c r="T4" i="5"/>
  <c r="T2" i="5"/>
  <c r="Y2" i="7" l="1"/>
  <c r="Y3" i="7" s="1"/>
  <c r="T5" i="7" s="1"/>
  <c r="AB2" i="7"/>
  <c r="H10" i="7"/>
  <c r="Y8" i="7"/>
  <c r="U2" i="5"/>
  <c r="V2" i="5"/>
  <c r="T3" i="5"/>
  <c r="X7" i="7" l="1"/>
  <c r="Z7" i="7" s="1"/>
  <c r="AA7" i="7" s="1"/>
  <c r="H3" i="7"/>
  <c r="AB7" i="7" s="1"/>
  <c r="H6" i="7"/>
  <c r="K3" i="7"/>
  <c r="I3" i="7"/>
  <c r="J3" i="7"/>
  <c r="Q1" i="7"/>
  <c r="I1" i="7" s="1"/>
  <c r="H11" i="7"/>
  <c r="Y9" i="7"/>
  <c r="Z3" i="5"/>
  <c r="Y7" i="5" s="1"/>
  <c r="V3" i="5"/>
  <c r="T6" i="5" s="1"/>
  <c r="U3" i="5"/>
  <c r="Y2" i="5"/>
  <c r="AD7" i="7" l="1"/>
  <c r="J10" i="7" s="1"/>
  <c r="X8" i="7"/>
  <c r="Z8" i="7" s="1"/>
  <c r="AA8" i="7" s="1"/>
  <c r="AE7" i="7"/>
  <c r="H1" i="7"/>
  <c r="K10" i="7"/>
  <c r="AC7" i="7"/>
  <c r="I10" i="7" s="1"/>
  <c r="AB9" i="7"/>
  <c r="H12" i="7"/>
  <c r="Y10" i="7"/>
  <c r="AB8" i="7"/>
  <c r="Y8" i="5"/>
  <c r="H9" i="5"/>
  <c r="Y3" i="5"/>
  <c r="Q1" i="5" s="1"/>
  <c r="AD8" i="7" l="1"/>
  <c r="AE8" i="7"/>
  <c r="X9" i="7"/>
  <c r="Z9" i="7" s="1"/>
  <c r="AA9" i="7" s="1"/>
  <c r="AE9" i="7" s="1"/>
  <c r="K12" i="7" s="1"/>
  <c r="K11" i="7"/>
  <c r="AC8" i="7"/>
  <c r="AF7" i="7"/>
  <c r="H13" i="7"/>
  <c r="Y11" i="7"/>
  <c r="AB10" i="7"/>
  <c r="X10" i="7"/>
  <c r="Z10" i="7" s="1"/>
  <c r="AA10" i="7" s="1"/>
  <c r="J11" i="7"/>
  <c r="T5" i="5"/>
  <c r="H3" i="5" s="1"/>
  <c r="AB7" i="5" s="1"/>
  <c r="X7" i="5"/>
  <c r="X8" i="5" s="1"/>
  <c r="K3" i="5"/>
  <c r="I3" i="5"/>
  <c r="J3" i="5"/>
  <c r="I1" i="5"/>
  <c r="H1" i="5" s="1"/>
  <c r="Y9" i="5"/>
  <c r="AC9" i="7" l="1"/>
  <c r="AD9" i="7"/>
  <c r="AD10" i="7"/>
  <c r="AE10" i="7"/>
  <c r="K13" i="7" s="1"/>
  <c r="AC10" i="7"/>
  <c r="H14" i="7"/>
  <c r="Y12" i="7"/>
  <c r="AB11" i="7"/>
  <c r="X11" i="7"/>
  <c r="Z11" i="7" s="1"/>
  <c r="AA11" i="7" s="1"/>
  <c r="L10" i="7"/>
  <c r="I11" i="7"/>
  <c r="AF8" i="7"/>
  <c r="L11" i="7" s="1"/>
  <c r="I12" i="7"/>
  <c r="J12" i="7"/>
  <c r="X9" i="5"/>
  <c r="H11" i="5"/>
  <c r="AB8" i="5"/>
  <c r="AB9" i="5"/>
  <c r="Y10" i="5"/>
  <c r="Z7" i="5"/>
  <c r="AA7" i="5" s="1"/>
  <c r="AF9" i="7" l="1"/>
  <c r="L12" i="7" s="1"/>
  <c r="AE11" i="7"/>
  <c r="AC11" i="7"/>
  <c r="AD11" i="7"/>
  <c r="H15" i="7"/>
  <c r="Y13" i="7"/>
  <c r="AB12" i="7"/>
  <c r="X12" i="7"/>
  <c r="Z12" i="7" s="1"/>
  <c r="AA12" i="7" s="1"/>
  <c r="AF10" i="7"/>
  <c r="L13" i="7" s="1"/>
  <c r="I13" i="7"/>
  <c r="J13" i="7"/>
  <c r="X10" i="5"/>
  <c r="H12" i="5"/>
  <c r="AB10" i="5"/>
  <c r="AC7" i="5"/>
  <c r="I9" i="5" s="1"/>
  <c r="AE7" i="5"/>
  <c r="AD7" i="5"/>
  <c r="Y11" i="5"/>
  <c r="Z8" i="5"/>
  <c r="AA8" i="5" s="1"/>
  <c r="AE12" i="7" l="1"/>
  <c r="K15" i="7" s="1"/>
  <c r="AC12" i="7"/>
  <c r="AD12" i="7"/>
  <c r="H16" i="7"/>
  <c r="Y14" i="7"/>
  <c r="AB13" i="7"/>
  <c r="X13" i="7"/>
  <c r="Z13" i="7" s="1"/>
  <c r="AA13" i="7" s="1"/>
  <c r="I14" i="7"/>
  <c r="AF11" i="7"/>
  <c r="L14" i="7" s="1"/>
  <c r="J14" i="7"/>
  <c r="K14" i="7"/>
  <c r="X11" i="5"/>
  <c r="H13" i="5"/>
  <c r="AB11" i="5"/>
  <c r="J9" i="5"/>
  <c r="K9" i="5"/>
  <c r="AE8" i="5"/>
  <c r="AC8" i="5"/>
  <c r="AD8" i="5"/>
  <c r="AF7" i="5"/>
  <c r="L9" i="5" s="1"/>
  <c r="Z9" i="5"/>
  <c r="AA9" i="5" s="1"/>
  <c r="Y12" i="5"/>
  <c r="AE13" i="7" l="1"/>
  <c r="AC13" i="7"/>
  <c r="AD13" i="7"/>
  <c r="I15" i="7"/>
  <c r="AF12" i="7"/>
  <c r="L15" i="7" s="1"/>
  <c r="H17" i="7"/>
  <c r="Y15" i="7"/>
  <c r="AB14" i="7"/>
  <c r="X14" i="7"/>
  <c r="Z14" i="7" s="1"/>
  <c r="AA14" i="7" s="1"/>
  <c r="J15" i="7"/>
  <c r="X12" i="5"/>
  <c r="H14" i="5"/>
  <c r="J10" i="5"/>
  <c r="I10" i="5"/>
  <c r="K10" i="5"/>
  <c r="AB12" i="5"/>
  <c r="AE9" i="5"/>
  <c r="AC9" i="5"/>
  <c r="I11" i="5" s="1"/>
  <c r="AD9" i="5"/>
  <c r="Y13" i="5"/>
  <c r="Z10" i="5"/>
  <c r="AA10" i="5" s="1"/>
  <c r="AE14" i="7" l="1"/>
  <c r="K17" i="7" s="1"/>
  <c r="AC14" i="7"/>
  <c r="AD14" i="7"/>
  <c r="H18" i="7"/>
  <c r="Y16" i="7"/>
  <c r="AB15" i="7"/>
  <c r="X15" i="7"/>
  <c r="Z15" i="7" s="1"/>
  <c r="AA15" i="7" s="1"/>
  <c r="I16" i="7"/>
  <c r="AF13" i="7"/>
  <c r="L16" i="7" s="1"/>
  <c r="J16" i="7"/>
  <c r="K16" i="7"/>
  <c r="J11" i="5"/>
  <c r="X13" i="5"/>
  <c r="H15" i="5"/>
  <c r="K11" i="5"/>
  <c r="AB13" i="5"/>
  <c r="AE10" i="5"/>
  <c r="AC10" i="5"/>
  <c r="AD10" i="5"/>
  <c r="J12" i="5" s="1"/>
  <c r="AF8" i="5"/>
  <c r="L10" i="5" s="1"/>
  <c r="Z11" i="5"/>
  <c r="AA11" i="5" s="1"/>
  <c r="Y14" i="5"/>
  <c r="AE15" i="7" l="1"/>
  <c r="AC15" i="7"/>
  <c r="AD15" i="7"/>
  <c r="I17" i="7"/>
  <c r="AF14" i="7"/>
  <c r="L17" i="7" s="1"/>
  <c r="H19" i="7"/>
  <c r="Y17" i="7"/>
  <c r="AB16" i="7"/>
  <c r="X16" i="7"/>
  <c r="Z16" i="7" s="1"/>
  <c r="AA16" i="7" s="1"/>
  <c r="J17" i="7"/>
  <c r="X14" i="5"/>
  <c r="H16" i="5"/>
  <c r="I12" i="5"/>
  <c r="K12" i="5"/>
  <c r="AB14" i="5"/>
  <c r="AE11" i="5"/>
  <c r="AC11" i="5"/>
  <c r="I13" i="5" s="1"/>
  <c r="AD11" i="5"/>
  <c r="AF9" i="5"/>
  <c r="L11" i="5" s="1"/>
  <c r="AF10" i="5"/>
  <c r="L12" i="5" s="1"/>
  <c r="Y15" i="5"/>
  <c r="Z12" i="5"/>
  <c r="AA12" i="5" s="1"/>
  <c r="H20" i="7" l="1"/>
  <c r="Y18" i="7"/>
  <c r="AB17" i="7"/>
  <c r="X17" i="7"/>
  <c r="Z17" i="7" s="1"/>
  <c r="AA17" i="7" s="1"/>
  <c r="AE16" i="7"/>
  <c r="K19" i="7" s="1"/>
  <c r="AC16" i="7"/>
  <c r="AD16" i="7"/>
  <c r="I18" i="7"/>
  <c r="AF15" i="7"/>
  <c r="L18" i="7" s="1"/>
  <c r="J18" i="7"/>
  <c r="K18" i="7"/>
  <c r="X15" i="5"/>
  <c r="H17" i="5"/>
  <c r="J13" i="5"/>
  <c r="K13" i="5"/>
  <c r="AB15" i="5"/>
  <c r="AD12" i="5"/>
  <c r="AE12" i="5"/>
  <c r="K14" i="5" s="1"/>
  <c r="AC12" i="5"/>
  <c r="Z13" i="5"/>
  <c r="AA13" i="5" s="1"/>
  <c r="Y16" i="5"/>
  <c r="I19" i="7" l="1"/>
  <c r="AF16" i="7"/>
  <c r="L19" i="7" s="1"/>
  <c r="H21" i="7"/>
  <c r="AB18" i="7"/>
  <c r="X18" i="7"/>
  <c r="Z18" i="7" s="1"/>
  <c r="AA18" i="7" s="1"/>
  <c r="J19" i="7"/>
  <c r="AE17" i="7"/>
  <c r="K20" i="7" s="1"/>
  <c r="AC17" i="7"/>
  <c r="AD17" i="7"/>
  <c r="J20" i="7" s="1"/>
  <c r="X16" i="5"/>
  <c r="H18" i="5"/>
  <c r="I14" i="5"/>
  <c r="J14" i="5"/>
  <c r="AB16" i="5"/>
  <c r="AE13" i="5"/>
  <c r="K15" i="5" s="1"/>
  <c r="AD13" i="5"/>
  <c r="J15" i="5" s="1"/>
  <c r="AC13" i="5"/>
  <c r="I15" i="5" s="1"/>
  <c r="AF11" i="5"/>
  <c r="L13" i="5" s="1"/>
  <c r="Y17" i="5"/>
  <c r="Z14" i="5"/>
  <c r="AA14" i="5" s="1"/>
  <c r="I20" i="7" l="1"/>
  <c r="AF17" i="7"/>
  <c r="L20" i="7" s="1"/>
  <c r="AE18" i="7"/>
  <c r="AC18" i="7"/>
  <c r="AD18" i="7"/>
  <c r="X17" i="5"/>
  <c r="H19" i="5"/>
  <c r="AB17" i="5"/>
  <c r="AD14" i="5"/>
  <c r="AE14" i="5"/>
  <c r="K16" i="5" s="1"/>
  <c r="AC14" i="5"/>
  <c r="I16" i="5" s="1"/>
  <c r="AF12" i="5"/>
  <c r="L14" i="5" s="1"/>
  <c r="AF13" i="5"/>
  <c r="L15" i="5" s="1"/>
  <c r="Z15" i="5"/>
  <c r="AA15" i="5" s="1"/>
  <c r="Y18" i="5"/>
  <c r="AC21" i="7" l="1"/>
  <c r="AC22" i="7"/>
  <c r="I29" i="7" s="1"/>
  <c r="AD21" i="7"/>
  <c r="AD22" i="7"/>
  <c r="J29" i="7" s="1"/>
  <c r="AE22" i="7"/>
  <c r="K29" i="7" s="1"/>
  <c r="AE21" i="7"/>
  <c r="I21" i="7"/>
  <c r="AF18" i="7"/>
  <c r="AC19" i="7"/>
  <c r="I22" i="7" s="1"/>
  <c r="J21" i="7"/>
  <c r="AD19" i="7"/>
  <c r="J22" i="7" s="1"/>
  <c r="K21" i="7"/>
  <c r="AE19" i="7"/>
  <c r="K22" i="7" s="1"/>
  <c r="X18" i="5"/>
  <c r="H20" i="5"/>
  <c r="J16" i="5"/>
  <c r="AB18" i="5"/>
  <c r="AE15" i="5"/>
  <c r="K17" i="5" s="1"/>
  <c r="AC15" i="5"/>
  <c r="I17" i="5" s="1"/>
  <c r="AD15" i="5"/>
  <c r="J17" i="5" s="1"/>
  <c r="AF14" i="5"/>
  <c r="L16" i="5" s="1"/>
  <c r="Z16" i="5"/>
  <c r="AA16" i="5" s="1"/>
  <c r="AD20" i="7" l="1"/>
  <c r="AD28" i="7" s="1"/>
  <c r="J28" i="7" s="1"/>
  <c r="AE20" i="7"/>
  <c r="AE28" i="7" s="1"/>
  <c r="AC20" i="7"/>
  <c r="AC28" i="7" s="1"/>
  <c r="L21" i="7"/>
  <c r="AF19" i="7"/>
  <c r="L22" i="7" s="1"/>
  <c r="AE16" i="5"/>
  <c r="K18" i="5" s="1"/>
  <c r="AC16" i="5"/>
  <c r="I18" i="5" s="1"/>
  <c r="AD16" i="5"/>
  <c r="J18" i="5" s="1"/>
  <c r="AF15" i="5"/>
  <c r="L17" i="5" s="1"/>
  <c r="Z18" i="5"/>
  <c r="AA18" i="5" s="1"/>
  <c r="Z17" i="5"/>
  <c r="AA17" i="5" s="1"/>
  <c r="I28" i="7" l="1"/>
  <c r="K28" i="7"/>
  <c r="AE18" i="5"/>
  <c r="AC18" i="5"/>
  <c r="AD18" i="5"/>
  <c r="AE17" i="5"/>
  <c r="K19" i="5" s="1"/>
  <c r="AC17" i="5"/>
  <c r="I19" i="5" s="1"/>
  <c r="AD17" i="5"/>
  <c r="J19" i="5" s="1"/>
  <c r="AF16" i="5"/>
  <c r="L18" i="5" s="1"/>
  <c r="AF28" i="7" l="1"/>
  <c r="L28" i="7" s="1"/>
  <c r="AC22" i="5"/>
  <c r="AC21" i="5"/>
  <c r="I30" i="5" s="1"/>
  <c r="AD22" i="5"/>
  <c r="AD21" i="5"/>
  <c r="J30" i="5" s="1"/>
  <c r="AE21" i="5"/>
  <c r="K30" i="5" s="1"/>
  <c r="AE22" i="5"/>
  <c r="J20" i="5"/>
  <c r="K20" i="5"/>
  <c r="I20" i="5"/>
  <c r="AC19" i="5"/>
  <c r="I21" i="5" s="1"/>
  <c r="AD19" i="5"/>
  <c r="J21" i="5" s="1"/>
  <c r="AF17" i="5"/>
  <c r="L19" i="5" s="1"/>
  <c r="AC20" i="5" l="1"/>
  <c r="AC24" i="5" s="1"/>
  <c r="AD20" i="5"/>
  <c r="AD24" i="5" s="1"/>
  <c r="J27" i="5" s="1"/>
  <c r="AF18" i="5"/>
  <c r="L20" i="5" s="1"/>
  <c r="AE19" i="5"/>
  <c r="AD25" i="5" l="1"/>
  <c r="J28" i="5" s="1"/>
  <c r="J29" i="5" s="1"/>
  <c r="AC25" i="5"/>
  <c r="I28" i="5" s="1"/>
  <c r="K21" i="5"/>
  <c r="AE20" i="5"/>
  <c r="AE24" i="5" s="1"/>
  <c r="K27" i="5" s="1"/>
  <c r="I27" i="5"/>
  <c r="AF19" i="5"/>
  <c r="L21" i="5" s="1"/>
  <c r="I29" i="5" l="1"/>
  <c r="AF24" i="5"/>
  <c r="L27" i="5" s="1"/>
  <c r="AE25" i="5"/>
  <c r="K28" i="5" s="1"/>
  <c r="K29" i="5" s="1"/>
  <c r="AF25" i="5" l="1"/>
  <c r="L28" i="5" s="1"/>
  <c r="L29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　智士</author>
  </authors>
  <commentList>
    <comment ref="C3" authorId="0" shapeId="0" xr:uid="{F8FD73D6-314F-4C5D-AB77-F835CCAD62B4}">
      <text>
        <r>
          <rPr>
            <sz val="9"/>
            <color indexed="81"/>
            <rFont val="MS P ゴシック"/>
            <family val="3"/>
            <charset val="128"/>
          </rPr>
          <t>【入力例：令和７年３月31日退職】
　下記いずれの形式でも反映します。
　　2025/3/31
　　2025年3月31日
　　R7.3.31
　　令和7年3月31日</t>
        </r>
      </text>
    </comment>
    <comment ref="C5" authorId="0" shapeId="0" xr:uid="{BB23216E-9AD3-4F66-A197-11387CC362A1}">
      <text>
        <r>
          <rPr>
            <sz val="9"/>
            <color indexed="81"/>
            <rFont val="MS P ゴシック"/>
            <family val="3"/>
            <charset val="128"/>
          </rPr>
          <t>円単位で入力願います。
　○ 360,000
　× 36
　× 360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　智士</author>
  </authors>
  <commentList>
    <comment ref="C3" authorId="0" shapeId="0" xr:uid="{00CD1C4A-74B3-4F23-ADB9-76C92FF0098F}">
      <text>
        <r>
          <rPr>
            <sz val="9"/>
            <color indexed="81"/>
            <rFont val="MS P ゴシック"/>
            <family val="3"/>
            <charset val="128"/>
          </rPr>
          <t>【入力例：令和７年３月31日退職】
　下記いずれの形式でも反映します。
　　2025/3/31
　　2025年3月31日
　　R7.3.31
　　令和7年3月31日</t>
        </r>
      </text>
    </comment>
    <comment ref="C5" authorId="0" shapeId="0" xr:uid="{BA6CF777-AC36-4B84-A15E-74F95D3E6DA7}">
      <text>
        <r>
          <rPr>
            <sz val="9"/>
            <color indexed="81"/>
            <rFont val="MS P ゴシック"/>
            <family val="3"/>
            <charset val="128"/>
          </rPr>
          <t>円単位で入力願います。
　○ 360,000
　× 36
　× 360</t>
        </r>
      </text>
    </comment>
  </commentList>
</comments>
</file>

<file path=xl/sharedStrings.xml><?xml version="1.0" encoding="utf-8"?>
<sst xmlns="http://schemas.openxmlformats.org/spreadsheetml/2006/main" count="147" uniqueCount="86">
  <si>
    <t>短期</t>
    <rPh sb="0" eb="2">
      <t>タンキ</t>
    </rPh>
    <phoneticPr fontId="2"/>
  </si>
  <si>
    <t>介護</t>
    <rPh sb="0" eb="2">
      <t>カイゴ</t>
    </rPh>
    <phoneticPr fontId="2"/>
  </si>
  <si>
    <t>退職日</t>
    <rPh sb="0" eb="2">
      <t>タイショク</t>
    </rPh>
    <rPh sb="2" eb="3">
      <t>ビ</t>
    </rPh>
    <phoneticPr fontId="2"/>
  </si>
  <si>
    <t>退職月の標準報酬月額</t>
    <rPh sb="0" eb="2">
      <t>タイショク</t>
    </rPh>
    <rPh sb="2" eb="3">
      <t>ゲツ</t>
    </rPh>
    <rPh sb="4" eb="6">
      <t>ヒョウジュン</t>
    </rPh>
    <rPh sb="6" eb="8">
      <t>ホウシュウ</t>
    </rPh>
    <rPh sb="8" eb="10">
      <t>ゲツガク</t>
    </rPh>
    <phoneticPr fontId="2"/>
  </si>
  <si>
    <t>平均標準報酬月額</t>
    <rPh sb="0" eb="2">
      <t>ヘイキン</t>
    </rPh>
    <rPh sb="2" eb="4">
      <t>ヒョウジュン</t>
    </rPh>
    <rPh sb="4" eb="6">
      <t>ホウシュウ</t>
    </rPh>
    <rPh sb="6" eb="8">
      <t>ゲツガク</t>
    </rPh>
    <phoneticPr fontId="2"/>
  </si>
  <si>
    <t>年額</t>
    <rPh sb="0" eb="2">
      <t>ネンガク</t>
    </rPh>
    <phoneticPr fontId="2"/>
  </si>
  <si>
    <t>合計</t>
    <rPh sb="0" eb="2">
      <t>ゴウケイ</t>
    </rPh>
    <phoneticPr fontId="2"/>
  </si>
  <si>
    <t>→</t>
    <phoneticPr fontId="2"/>
  </si>
  <si>
    <t>退職年度</t>
    <rPh sb="0" eb="2">
      <t>タイショク</t>
    </rPh>
    <rPh sb="2" eb="4">
      <t>ネンド</t>
    </rPh>
    <phoneticPr fontId="2"/>
  </si>
  <si>
    <t>介護掛金</t>
    <rPh sb="0" eb="2">
      <t>カイゴ</t>
    </rPh>
    <rPh sb="2" eb="4">
      <t>カケキン</t>
    </rPh>
    <phoneticPr fontId="2"/>
  </si>
  <si>
    <t>資格喪失日(任継取得日)</t>
    <rPh sb="0" eb="2">
      <t>シカク</t>
    </rPh>
    <rPh sb="2" eb="4">
      <t>ソウシツ</t>
    </rPh>
    <rPh sb="4" eb="5">
      <t>ビ</t>
    </rPh>
    <rPh sb="6" eb="8">
      <t>ニンケイ</t>
    </rPh>
    <rPh sb="8" eb="10">
      <t>シュトク</t>
    </rPh>
    <rPh sb="10" eb="11">
      <t>ビ</t>
    </rPh>
    <phoneticPr fontId="2"/>
  </si>
  <si>
    <t>加入年度</t>
    <rPh sb="0" eb="2">
      <t>カニュウ</t>
    </rPh>
    <rPh sb="2" eb="4">
      <t>ネンド</t>
    </rPh>
    <phoneticPr fontId="2"/>
  </si>
  <si>
    <t>任意継続掛金</t>
    <rPh sb="0" eb="2">
      <t>ニンイ</t>
    </rPh>
    <rPh sb="2" eb="4">
      <t>ケイゾク</t>
    </rPh>
    <rPh sb="4" eb="6">
      <t>カケキン</t>
    </rPh>
    <phoneticPr fontId="2"/>
  </si>
  <si>
    <t>初月分</t>
    <rPh sb="0" eb="2">
      <t>ショゲツ</t>
    </rPh>
    <rPh sb="2" eb="3">
      <t>ブン</t>
    </rPh>
    <phoneticPr fontId="2"/>
  </si>
  <si>
    <t>前納対象月</t>
    <rPh sb="0" eb="2">
      <t>ゼンノウ</t>
    </rPh>
    <rPh sb="2" eb="4">
      <t>タイショウ</t>
    </rPh>
    <rPh sb="4" eb="5">
      <t>ゲツ</t>
    </rPh>
    <phoneticPr fontId="2"/>
  </si>
  <si>
    <t>取得月</t>
    <rPh sb="0" eb="2">
      <t>シュトク</t>
    </rPh>
    <rPh sb="2" eb="3">
      <t>ゲツ</t>
    </rPh>
    <phoneticPr fontId="2"/>
  </si>
  <si>
    <t>納付月数</t>
    <rPh sb="0" eb="2">
      <t>ノウフ</t>
    </rPh>
    <rPh sb="2" eb="4">
      <t>ツキスウ</t>
    </rPh>
    <phoneticPr fontId="2"/>
  </si>
  <si>
    <t>納付月数</t>
    <rPh sb="0" eb="2">
      <t>ノウフ</t>
    </rPh>
    <rPh sb="2" eb="4">
      <t>ツキスウ</t>
    </rPh>
    <phoneticPr fontId="2"/>
  </si>
  <si>
    <t>【口座振替の場合】</t>
  </si>
  <si>
    <t>任意継続掛金率
(‰)</t>
    <rPh sb="0" eb="2">
      <t>ニンイ</t>
    </rPh>
    <rPh sb="2" eb="4">
      <t>ケイゾク</t>
    </rPh>
    <rPh sb="4" eb="6">
      <t>カケキン</t>
    </rPh>
    <rPh sb="6" eb="7">
      <t>リツ</t>
    </rPh>
    <phoneticPr fontId="2"/>
  </si>
  <si>
    <t>介護掛金率
(‰)</t>
    <rPh sb="0" eb="2">
      <t>カイゴ</t>
    </rPh>
    <rPh sb="2" eb="4">
      <t>カケキン</t>
    </rPh>
    <rPh sb="4" eb="5">
      <t>リツ</t>
    </rPh>
    <phoneticPr fontId="2"/>
  </si>
  <si>
    <t>↑</t>
    <phoneticPr fontId="2"/>
  </si>
  <si>
    <t>退職日・退職月の標準報酬月額を入力願います。</t>
    <rPh sb="0" eb="2">
      <t>タイショク</t>
    </rPh>
    <rPh sb="2" eb="3">
      <t>ビ</t>
    </rPh>
    <rPh sb="4" eb="6">
      <t>タイショク</t>
    </rPh>
    <rPh sb="6" eb="7">
      <t>ゲツ</t>
    </rPh>
    <rPh sb="8" eb="10">
      <t>ヒョウジュン</t>
    </rPh>
    <rPh sb="10" eb="12">
      <t>ホウシュウ</t>
    </rPh>
    <rPh sb="12" eb="14">
      <t>ゲツガク</t>
    </rPh>
    <rPh sb="15" eb="17">
      <t>ニュウリョク</t>
    </rPh>
    <rPh sb="17" eb="18">
      <t>ネガ</t>
    </rPh>
    <phoneticPr fontId="2"/>
  </si>
  <si>
    <t>年度
(西暦)</t>
    <rPh sb="0" eb="2">
      <t>ネンド</t>
    </rPh>
    <rPh sb="4" eb="6">
      <t>セイレキ</t>
    </rPh>
    <phoneticPr fontId="2"/>
  </si>
  <si>
    <t>年度
（和暦）</t>
    <rPh sb="0" eb="2">
      <t>ネンド</t>
    </rPh>
    <rPh sb="4" eb="6">
      <t>ワレキ</t>
    </rPh>
    <phoneticPr fontId="2"/>
  </si>
  <si>
    <t>令和6</t>
    <rPh sb="0" eb="2">
      <t>レイワ</t>
    </rPh>
    <phoneticPr fontId="2"/>
  </si>
  <si>
    <t>令和7</t>
    <rPh sb="0" eb="2">
      <t>レイワ</t>
    </rPh>
    <phoneticPr fontId="2"/>
  </si>
  <si>
    <t>令和8</t>
    <rPh sb="0" eb="2">
      <t>レイワ</t>
    </rPh>
    <phoneticPr fontId="2"/>
  </si>
  <si>
    <t>令和9</t>
    <rPh sb="0" eb="2">
      <t>レイワ</t>
    </rPh>
    <phoneticPr fontId="2"/>
  </si>
  <si>
    <t>令和10</t>
    <rPh sb="0" eb="2">
      <t>レイワ</t>
    </rPh>
    <phoneticPr fontId="2"/>
  </si>
  <si>
    <t>令和11</t>
    <rPh sb="0" eb="2">
      <t>レイワ</t>
    </rPh>
    <phoneticPr fontId="2"/>
  </si>
  <si>
    <t>令和12</t>
    <rPh sb="0" eb="2">
      <t>レイワ</t>
    </rPh>
    <phoneticPr fontId="2"/>
  </si>
  <si>
    <t>令和13</t>
    <rPh sb="0" eb="2">
      <t>レイワ</t>
    </rPh>
    <phoneticPr fontId="2"/>
  </si>
  <si>
    <t>基礎となる
標準報酬月額</t>
    <rPh sb="0" eb="2">
      <t>キソ</t>
    </rPh>
    <rPh sb="6" eb="8">
      <t>ヒョウジュン</t>
    </rPh>
    <rPh sb="8" eb="10">
      <t>ホウシュウ</t>
    </rPh>
    <rPh sb="10" eb="12">
      <t>ゲツガク</t>
    </rPh>
    <phoneticPr fontId="2"/>
  </si>
  <si>
    <t>※基礎となる標準報酬月額は、退職月の標準報酬月額と当組合の平均標準報酬月</t>
    <rPh sb="1" eb="3">
      <t>キソ</t>
    </rPh>
    <rPh sb="6" eb="8">
      <t>ヒョウジュン</t>
    </rPh>
    <rPh sb="8" eb="10">
      <t>ホウシュウ</t>
    </rPh>
    <rPh sb="10" eb="12">
      <t>ゲツガク</t>
    </rPh>
    <rPh sb="14" eb="16">
      <t>タイショク</t>
    </rPh>
    <rPh sb="16" eb="17">
      <t>ゲツ</t>
    </rPh>
    <rPh sb="18" eb="20">
      <t>ヒョウジュン</t>
    </rPh>
    <rPh sb="20" eb="22">
      <t>ホウシュウ</t>
    </rPh>
    <rPh sb="22" eb="24">
      <t>ゲツガク</t>
    </rPh>
    <rPh sb="25" eb="26">
      <t>トウ</t>
    </rPh>
    <rPh sb="26" eb="28">
      <t>クミアイ</t>
    </rPh>
    <phoneticPr fontId="2"/>
  </si>
  <si>
    <t>　額のいずれか低い額が適用されます。</t>
    <rPh sb="7" eb="8">
      <t>ヒク</t>
    </rPh>
    <rPh sb="9" eb="10">
      <t>ガク</t>
    </rPh>
    <rPh sb="11" eb="13">
      <t>テキヨウ</t>
    </rPh>
    <phoneticPr fontId="2"/>
  </si>
  <si>
    <t>ください。</t>
    <phoneticPr fontId="2"/>
  </si>
  <si>
    <t>退職月の標準報酬月額は、給与明細等をご確認</t>
    <rPh sb="0" eb="2">
      <t>タイショク</t>
    </rPh>
    <rPh sb="2" eb="3">
      <t>ゲツ</t>
    </rPh>
    <rPh sb="4" eb="6">
      <t>ヒョウジュン</t>
    </rPh>
    <rPh sb="6" eb="8">
      <t>ホウシュウ</t>
    </rPh>
    <rPh sb="8" eb="10">
      <t>ゲツガク</t>
    </rPh>
    <rPh sb="12" eb="14">
      <t>キュウヨ</t>
    </rPh>
    <rPh sb="14" eb="16">
      <t>メイサイ</t>
    </rPh>
    <rPh sb="16" eb="17">
      <t>トウ</t>
    </rPh>
    <phoneticPr fontId="2"/>
  </si>
  <si>
    <t>前納
月数</t>
    <rPh sb="0" eb="2">
      <t>ゼンノウ</t>
    </rPh>
    <rPh sb="3" eb="5">
      <t>ツキスウ</t>
    </rPh>
    <phoneticPr fontId="2"/>
  </si>
  <si>
    <t>乗じる率</t>
    <rPh sb="0" eb="1">
      <t>ジョウ</t>
    </rPh>
    <rPh sb="3" eb="4">
      <t>リツ</t>
    </rPh>
    <phoneticPr fontId="2"/>
  </si>
  <si>
    <t>１年目
前納対象月</t>
    <rPh sb="1" eb="2">
      <t>ネン</t>
    </rPh>
    <rPh sb="2" eb="3">
      <t>メ</t>
    </rPh>
    <rPh sb="4" eb="6">
      <t>ゼンノウ</t>
    </rPh>
    <rPh sb="6" eb="8">
      <t>タイショウ</t>
    </rPh>
    <rPh sb="8" eb="9">
      <t>ゲツ</t>
    </rPh>
    <phoneticPr fontId="2"/>
  </si>
  <si>
    <t>前納分</t>
    <rPh sb="0" eb="2">
      <t>ゼンノウ</t>
    </rPh>
    <rPh sb="2" eb="3">
      <t>ブン</t>
    </rPh>
    <phoneticPr fontId="2"/>
  </si>
  <si>
    <t>平均標準報酬月額（１年目）</t>
    <rPh sb="0" eb="2">
      <t>ヘイキン</t>
    </rPh>
    <rPh sb="2" eb="4">
      <t>ヒョウジュン</t>
    </rPh>
    <rPh sb="4" eb="6">
      <t>ホウシュウ</t>
    </rPh>
    <rPh sb="6" eb="8">
      <t>ゲツガク</t>
    </rPh>
    <rPh sb="10" eb="11">
      <t>ネン</t>
    </rPh>
    <rPh sb="11" eb="12">
      <t>メ</t>
    </rPh>
    <phoneticPr fontId="2"/>
  </si>
  <si>
    <t>　</t>
    <phoneticPr fontId="2"/>
  </si>
  <si>
    <t>　変更となった場合</t>
    <phoneticPr fontId="2"/>
  </si>
  <si>
    <t>　には、この率を更新</t>
    <phoneticPr fontId="2"/>
  </si>
  <si>
    <t>　してください。</t>
    <phoneticPr fontId="2"/>
  </si>
  <si>
    <t>←前納時の率が</t>
    <rPh sb="1" eb="3">
      <t>ゼンノウ</t>
    </rPh>
    <rPh sb="3" eb="4">
      <t>ジ</t>
    </rPh>
    <rPh sb="5" eb="6">
      <t>リツ</t>
    </rPh>
    <phoneticPr fontId="2"/>
  </si>
  <si>
    <r>
      <t>←担当者は各年度の額・率が</t>
    </r>
    <r>
      <rPr>
        <u/>
        <sz val="11"/>
        <color rgb="FFFF0000"/>
        <rFont val="ＭＳ ゴシック"/>
        <family val="3"/>
        <charset val="128"/>
      </rPr>
      <t>両方確定</t>
    </r>
    <r>
      <rPr>
        <sz val="11"/>
        <color rgb="FFFF0000"/>
        <rFont val="ＭＳ ゴシック"/>
        <family val="2"/>
        <charset val="128"/>
      </rPr>
      <t>したら、
　数値を入力してください!!</t>
    </r>
    <rPh sb="1" eb="4">
      <t>タントウシャ</t>
    </rPh>
    <rPh sb="5" eb="6">
      <t>カク</t>
    </rPh>
    <rPh sb="6" eb="8">
      <t>ネンド</t>
    </rPh>
    <rPh sb="9" eb="10">
      <t>ガク</t>
    </rPh>
    <rPh sb="11" eb="12">
      <t>リツ</t>
    </rPh>
    <rPh sb="13" eb="15">
      <t>リョウホウ</t>
    </rPh>
    <rPh sb="15" eb="17">
      <t>カクテイ</t>
    </rPh>
    <rPh sb="23" eb="25">
      <t>スウチ</t>
    </rPh>
    <rPh sb="26" eb="28">
      <t>ニュウリョク</t>
    </rPh>
    <phoneticPr fontId="2"/>
  </si>
  <si>
    <t>令和14</t>
    <rPh sb="0" eb="2">
      <t>レイワ</t>
    </rPh>
    <phoneticPr fontId="2"/>
  </si>
  <si>
    <t>令和15</t>
    <rPh sb="0" eb="2">
      <t>レイワ</t>
    </rPh>
    <phoneticPr fontId="2"/>
  </si>
  <si>
    <t>生年月日</t>
    <rPh sb="0" eb="2">
      <t>セイネン</t>
    </rPh>
    <rPh sb="2" eb="4">
      <t>ガッピ</t>
    </rPh>
    <phoneticPr fontId="2"/>
  </si>
  <si>
    <t>65歳
到達月</t>
    <rPh sb="2" eb="3">
      <t>サイ</t>
    </rPh>
    <rPh sb="4" eb="6">
      <t>トウタツ</t>
    </rPh>
    <rPh sb="6" eb="7">
      <t>ゲツ</t>
    </rPh>
    <phoneticPr fontId="2"/>
  </si>
  <si>
    <t>年齢</t>
    <rPh sb="0" eb="2">
      <t>ネンレイ</t>
    </rPh>
    <phoneticPr fontId="2"/>
  </si>
  <si>
    <t>子ども子育て支援金</t>
    <rPh sb="0" eb="1">
      <t>コ</t>
    </rPh>
    <rPh sb="3" eb="5">
      <t>コソダ</t>
    </rPh>
    <rPh sb="6" eb="8">
      <t>シエン</t>
    </rPh>
    <rPh sb="8" eb="9">
      <t>キン</t>
    </rPh>
    <phoneticPr fontId="2"/>
  </si>
  <si>
    <t>子ども子育て</t>
    <rPh sb="0" eb="1">
      <t>コ</t>
    </rPh>
    <rPh sb="3" eb="5">
      <t>コソダ</t>
    </rPh>
    <phoneticPr fontId="2"/>
  </si>
  <si>
    <t>標準報酬月額</t>
    <rPh sb="0" eb="6">
      <t>ヒョウジュンホウシュウゲツガク</t>
    </rPh>
    <phoneticPr fontId="2"/>
  </si>
  <si>
    <r>
      <rPr>
        <sz val="9"/>
        <color theme="1"/>
        <rFont val="HG丸ｺﾞｼｯｸM-PRO"/>
        <family val="3"/>
        <charset val="128"/>
      </rPr>
      <t>子</t>
    </r>
    <r>
      <rPr>
        <sz val="8"/>
        <color theme="1"/>
        <rFont val="HG丸ｺﾞｼｯｸM-PRO"/>
        <family val="3"/>
        <charset val="128"/>
      </rPr>
      <t>ども子育て支援金</t>
    </r>
    <r>
      <rPr>
        <sz val="11"/>
        <color theme="1"/>
        <rFont val="HG丸ｺﾞｼｯｸM-PRO"/>
        <family val="3"/>
        <charset val="128"/>
      </rPr>
      <t xml:space="preserve">
(‰)</t>
    </r>
    <rPh sb="0" eb="1">
      <t>コ</t>
    </rPh>
    <rPh sb="3" eb="5">
      <t>コソダ</t>
    </rPh>
    <rPh sb="6" eb="9">
      <t>シエンキン</t>
    </rPh>
    <phoneticPr fontId="2"/>
  </si>
  <si>
    <t>月</t>
    <rPh sb="0" eb="1">
      <t>ツキ</t>
    </rPh>
    <phoneticPr fontId="2"/>
  </si>
  <si>
    <t>※口座振替を選択された場合でも、最初の２か月分は指定の口座にお振込みいただきます。</t>
    <rPh sb="1" eb="3">
      <t>コウザ</t>
    </rPh>
    <rPh sb="3" eb="5">
      <t>フリカエ</t>
    </rPh>
    <rPh sb="6" eb="8">
      <t>センタク</t>
    </rPh>
    <rPh sb="11" eb="13">
      <t>バアイ</t>
    </rPh>
    <rPh sb="16" eb="18">
      <t>サイショ</t>
    </rPh>
    <rPh sb="21" eb="23">
      <t>ゲツブン</t>
    </rPh>
    <rPh sb="24" eb="26">
      <t>シテイ</t>
    </rPh>
    <rPh sb="27" eb="29">
      <t>コウザ</t>
    </rPh>
    <rPh sb="31" eb="33">
      <t>フリコ</t>
    </rPh>
    <phoneticPr fontId="2"/>
  </si>
  <si>
    <t>　３か月目以降は、上記額（月額の合計）を毎月ご指定の口座から引き落としします。</t>
    <rPh sb="9" eb="11">
      <t>ジョウキ</t>
    </rPh>
    <rPh sb="11" eb="12">
      <t>ガク</t>
    </rPh>
    <rPh sb="13" eb="15">
      <t>ゲツガク</t>
    </rPh>
    <rPh sb="16" eb="18">
      <t>ゴウケイ</t>
    </rPh>
    <phoneticPr fontId="2"/>
  </si>
  <si>
    <t>【口座振替】</t>
    <rPh sb="1" eb="5">
      <t>コウザフリカエ</t>
    </rPh>
    <phoneticPr fontId="2"/>
  </si>
  <si>
    <t>初月分</t>
    <rPh sb="0" eb="3">
      <t>ショゲツブン</t>
    </rPh>
    <phoneticPr fontId="2"/>
  </si>
  <si>
    <t>２月目以降</t>
    <rPh sb="1" eb="2">
      <t>ツキ</t>
    </rPh>
    <rPh sb="2" eb="3">
      <t>メ</t>
    </rPh>
    <rPh sb="3" eb="5">
      <t>イコウ</t>
    </rPh>
    <phoneticPr fontId="2"/>
  </si>
  <si>
    <t>※２か月目以降、割引率が適用されます。　年額（合計）を一括納付していただきます。</t>
  </si>
  <si>
    <t>【一括納付（１年目）】</t>
    <rPh sb="1" eb="5">
      <t>イッカツノウフ</t>
    </rPh>
    <rPh sb="7" eb="9">
      <t>ネンメ</t>
    </rPh>
    <phoneticPr fontId="2"/>
  </si>
  <si>
    <t>【一括納付（２年目）】</t>
    <rPh sb="1" eb="5">
      <t>イッカツノウフ</t>
    </rPh>
    <rPh sb="7" eb="9">
      <t>ネンメ</t>
    </rPh>
    <phoneticPr fontId="2"/>
  </si>
  <si>
    <t>※前年度中に加入された方の一括納付額です。（今年度加入された方は【一括納付（１年目）の場合】を御確認ください。</t>
    <rPh sb="1" eb="4">
      <t>ゼンネンド</t>
    </rPh>
    <rPh sb="4" eb="5">
      <t>チュウ</t>
    </rPh>
    <rPh sb="6" eb="8">
      <t>カニュウ</t>
    </rPh>
    <rPh sb="11" eb="12">
      <t>カタ</t>
    </rPh>
    <rPh sb="13" eb="15">
      <t>イッカツ</t>
    </rPh>
    <rPh sb="15" eb="17">
      <t>ノウフ</t>
    </rPh>
    <rPh sb="17" eb="18">
      <t>ガク</t>
    </rPh>
    <rPh sb="22" eb="25">
      <t>コンネンド</t>
    </rPh>
    <rPh sb="25" eb="27">
      <t>カニュウ</t>
    </rPh>
    <rPh sb="30" eb="31">
      <t>カタ</t>
    </rPh>
    <rPh sb="33" eb="35">
      <t>イッカツ</t>
    </rPh>
    <rPh sb="35" eb="37">
      <t>ノウフ</t>
    </rPh>
    <rPh sb="39" eb="41">
      <t>ネンメ</t>
    </rPh>
    <rPh sb="43" eb="45">
      <t>バアイ</t>
    </rPh>
    <rPh sb="47" eb="50">
      <t>ゴカクニン</t>
    </rPh>
    <phoneticPr fontId="2"/>
  </si>
  <si>
    <t>※今年度加入された方の一括納付額で。（前年度中に加入された方は【一括納付（２年目）の場合）】を御確認ください。</t>
  </si>
  <si>
    <t>前納対象月数</t>
    <rPh sb="0" eb="2">
      <t>ゼンノウ</t>
    </rPh>
    <rPh sb="2" eb="4">
      <t>タイショウ</t>
    </rPh>
    <rPh sb="4" eb="5">
      <t>ツキ</t>
    </rPh>
    <rPh sb="5" eb="6">
      <t>スウ</t>
    </rPh>
    <phoneticPr fontId="2"/>
  </si>
  <si>
    <t>（12月分）</t>
    <rPh sb="3" eb="5">
      <t>ツキブン</t>
    </rPh>
    <phoneticPr fontId="2"/>
  </si>
  <si>
    <t>シートです。</t>
    <phoneticPr fontId="2"/>
  </si>
  <si>
    <t>前年度から加入されている方が２年目の掛金を</t>
    <rPh sb="0" eb="3">
      <t>ゼンネンド</t>
    </rPh>
    <rPh sb="5" eb="7">
      <t>カニュウ</t>
    </rPh>
    <rPh sb="12" eb="13">
      <t>カタ</t>
    </rPh>
    <rPh sb="15" eb="17">
      <t>ネンメ</t>
    </rPh>
    <rPh sb="18" eb="19">
      <t>カ</t>
    </rPh>
    <rPh sb="19" eb="20">
      <t>キン</t>
    </rPh>
    <phoneticPr fontId="2"/>
  </si>
  <si>
    <t>ご利用ください。</t>
    <rPh sb="1" eb="3">
      <t>リヨウ</t>
    </rPh>
    <phoneticPr fontId="2"/>
  </si>
  <si>
    <t>確認したい場合は、試算（２年目）を</t>
    <rPh sb="0" eb="2">
      <t>カクニン</t>
    </rPh>
    <rPh sb="5" eb="7">
      <t>バアイ</t>
    </rPh>
    <rPh sb="9" eb="11">
      <t>シサン</t>
    </rPh>
    <rPh sb="13" eb="15">
      <t>ネンメ</t>
    </rPh>
    <phoneticPr fontId="2"/>
  </si>
  <si>
    <t>新たに加入を希望される方で、１年目の掛金を</t>
    <rPh sb="0" eb="1">
      <t>アラ</t>
    </rPh>
    <rPh sb="3" eb="5">
      <t>カニュウ</t>
    </rPh>
    <rPh sb="6" eb="8">
      <t>キボウ</t>
    </rPh>
    <rPh sb="11" eb="12">
      <t>カタ</t>
    </rPh>
    <rPh sb="15" eb="17">
      <t>ネンメ</t>
    </rPh>
    <rPh sb="18" eb="20">
      <t>カケキン</t>
    </rPh>
    <phoneticPr fontId="2"/>
  </si>
  <si>
    <t>確認したい場合は、試算（１年目）を</t>
    <rPh sb="0" eb="2">
      <t>カクニン</t>
    </rPh>
    <rPh sb="5" eb="7">
      <t>バアイ</t>
    </rPh>
    <rPh sb="9" eb="11">
      <t>シサン</t>
    </rPh>
    <rPh sb="13" eb="15">
      <t>ネンメ</t>
    </rPh>
    <phoneticPr fontId="2"/>
  </si>
  <si>
    <t>対象年度</t>
    <rPh sb="0" eb="2">
      <t>タイショウ</t>
    </rPh>
    <rPh sb="2" eb="4">
      <t>ネンド</t>
    </rPh>
    <phoneticPr fontId="2"/>
  </si>
  <si>
    <t>　のいずれか低い額が適用されます。</t>
    <rPh sb="6" eb="7">
      <t>ヒク</t>
    </rPh>
    <rPh sb="8" eb="9">
      <t>ガク</t>
    </rPh>
    <rPh sb="10" eb="12">
      <t>テキヨウ</t>
    </rPh>
    <phoneticPr fontId="2"/>
  </si>
  <si>
    <t>※基礎となる標準報酬月額は、退職月の標準報酬月額と当組合の平均標準報酬月額</t>
    <rPh sb="1" eb="3">
      <t>キソ</t>
    </rPh>
    <rPh sb="6" eb="8">
      <t>ヒョウジュン</t>
    </rPh>
    <rPh sb="8" eb="10">
      <t>ホウシュウ</t>
    </rPh>
    <rPh sb="10" eb="12">
      <t>ゲツガク</t>
    </rPh>
    <rPh sb="14" eb="16">
      <t>タイショク</t>
    </rPh>
    <rPh sb="16" eb="17">
      <t>ゲツ</t>
    </rPh>
    <rPh sb="18" eb="20">
      <t>ヒョウジュン</t>
    </rPh>
    <rPh sb="20" eb="22">
      <t>ホウシュウ</t>
    </rPh>
    <rPh sb="22" eb="24">
      <t>ゲツガク</t>
    </rPh>
    <rPh sb="25" eb="26">
      <t>トウ</t>
    </rPh>
    <rPh sb="26" eb="28">
      <t>クミアイ</t>
    </rPh>
    <phoneticPr fontId="2"/>
  </si>
  <si>
    <t>【一括納付の場合】</t>
    <rPh sb="1" eb="3">
      <t>イッカツ</t>
    </rPh>
    <rPh sb="3" eb="5">
      <t>ノウフ</t>
    </rPh>
    <rPh sb="6" eb="8">
      <t>バアイ</t>
    </rPh>
    <phoneticPr fontId="2"/>
  </si>
  <si>
    <r>
      <t>このシートは、</t>
    </r>
    <r>
      <rPr>
        <b/>
        <u/>
        <sz val="11"/>
        <color rgb="FFFF0000"/>
        <rFont val="BIZ UDゴシック"/>
        <family val="3"/>
        <charset val="128"/>
      </rPr>
      <t>これから任意継続組合員制度への</t>
    </r>
    <rPh sb="11" eb="13">
      <t>ニンイ</t>
    </rPh>
    <rPh sb="13" eb="15">
      <t>ケイゾク</t>
    </rPh>
    <rPh sb="15" eb="18">
      <t>クミアイイン</t>
    </rPh>
    <rPh sb="18" eb="20">
      <t>セイド</t>
    </rPh>
    <phoneticPr fontId="2"/>
  </si>
  <si>
    <r>
      <rPr>
        <b/>
        <u/>
        <sz val="11"/>
        <color rgb="FFFF0000"/>
        <rFont val="BIZ UDゴシック"/>
        <family val="3"/>
        <charset val="128"/>
      </rPr>
      <t>加入を希望される方</t>
    </r>
    <r>
      <rPr>
        <sz val="11"/>
        <color rgb="FFFF0000"/>
        <rFont val="BIZ UDゴシック"/>
        <family val="3"/>
        <charset val="128"/>
      </rPr>
      <t>が、掛金の試算をするための</t>
    </r>
    <rPh sb="0" eb="2">
      <t>カニュウ</t>
    </rPh>
    <rPh sb="3" eb="5">
      <t>キボウ</t>
    </rPh>
    <rPh sb="8" eb="9">
      <t>カタ</t>
    </rPh>
    <rPh sb="11" eb="12">
      <t>カ</t>
    </rPh>
    <rPh sb="12" eb="13">
      <t>カネ</t>
    </rPh>
    <rPh sb="14" eb="16">
      <t>シサン</t>
    </rPh>
    <phoneticPr fontId="2"/>
  </si>
  <si>
    <r>
      <t>このシートは、</t>
    </r>
    <r>
      <rPr>
        <b/>
        <u/>
        <sz val="11"/>
        <color rgb="FFFF0000"/>
        <rFont val="BIZ UDゴシック"/>
        <family val="3"/>
        <charset val="128"/>
      </rPr>
      <t>既に任意継続組合員制度に</t>
    </r>
    <rPh sb="7" eb="8">
      <t>スデ</t>
    </rPh>
    <rPh sb="9" eb="11">
      <t>ニンイ</t>
    </rPh>
    <rPh sb="11" eb="13">
      <t>ケイゾク</t>
    </rPh>
    <rPh sb="13" eb="16">
      <t>クミアイイン</t>
    </rPh>
    <rPh sb="16" eb="18">
      <t>セイド</t>
    </rPh>
    <phoneticPr fontId="2"/>
  </si>
  <si>
    <r>
      <rPr>
        <b/>
        <u/>
        <sz val="11"/>
        <color rgb="FFFF0000"/>
        <rFont val="BIZ UDゴシック"/>
        <family val="3"/>
        <charset val="128"/>
      </rPr>
      <t>加入している方</t>
    </r>
    <r>
      <rPr>
        <sz val="11"/>
        <color rgb="FFFF0000"/>
        <rFont val="BIZ UDゴシック"/>
        <family val="3"/>
        <charset val="128"/>
      </rPr>
      <t>が、２年目の掛金を確認するための</t>
    </r>
    <rPh sb="0" eb="2">
      <t>カニュウ</t>
    </rPh>
    <rPh sb="6" eb="7">
      <t>カタ</t>
    </rPh>
    <rPh sb="10" eb="12">
      <t>ネンメ</t>
    </rPh>
    <rPh sb="13" eb="15">
      <t>カケキン</t>
    </rPh>
    <rPh sb="16" eb="18">
      <t>カクニン</t>
    </rPh>
    <phoneticPr fontId="2"/>
  </si>
  <si>
    <t>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</si>
</sst>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_ "/>
    <numFmt numFmtId="177" formatCode="0&quot;か&quot;&quot;月&quot;"/>
    <numFmt numFmtId="178" formatCode="0_);[Red]\(0\)"/>
  </numFmts>
  <fonts count="2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1"/>
      <color rgb="FF000066"/>
      <name val="HGS創英角ｺﾞｼｯｸUB"/>
      <family val="3"/>
      <charset val="128"/>
    </font>
    <font>
      <sz val="11"/>
      <color rgb="FFFF0000"/>
      <name val="BIZ UDゴシック"/>
      <family val="3"/>
      <charset val="128"/>
    </font>
    <font>
      <sz val="9"/>
      <color rgb="FFFF0000"/>
      <name val="BIZ UDゴシック"/>
      <family val="3"/>
      <charset val="128"/>
    </font>
    <font>
      <sz val="8"/>
      <color theme="1"/>
      <name val="HG丸ｺﾞｼｯｸM-PRO"/>
      <family val="3"/>
      <charset val="128"/>
    </font>
    <font>
      <sz val="10"/>
      <color rgb="FF000066"/>
      <name val="HGS創英角ｺﾞｼｯｸUB"/>
      <family val="3"/>
      <charset val="128"/>
    </font>
    <font>
      <sz val="11"/>
      <color rgb="FFFF0000"/>
      <name val="ＭＳ ゴシック"/>
      <family val="2"/>
      <charset val="128"/>
    </font>
    <font>
      <sz val="11"/>
      <color theme="4" tint="0.79998168889431442"/>
      <name val="ＭＳ ゴシック"/>
      <family val="2"/>
      <charset val="128"/>
    </font>
    <font>
      <sz val="9"/>
      <color indexed="81"/>
      <name val="MS P ゴシック"/>
      <family val="3"/>
      <charset val="128"/>
    </font>
    <font>
      <u/>
      <sz val="11"/>
      <color rgb="FFFF00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color theme="1"/>
      <name val="HG丸ｺﾞｼｯｸM-PRO"/>
      <family val="3"/>
      <charset val="128"/>
    </font>
    <font>
      <sz val="11"/>
      <color theme="9" tint="0.79998168889431442"/>
      <name val="ＭＳ ゴシック"/>
      <family val="2"/>
      <charset val="128"/>
    </font>
    <font>
      <b/>
      <u/>
      <sz val="11"/>
      <color rgb="FFFF0000"/>
      <name val="BIZ UDゴシック"/>
      <family val="3"/>
      <charset val="128"/>
    </font>
    <font>
      <sz val="11"/>
      <name val="ＭＳ ゴシック"/>
      <family val="2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58" fontId="0" fillId="0" borderId="0" xfId="0" applyNumberFormat="1">
      <alignment vertical="center"/>
    </xf>
    <xf numFmtId="38" fontId="0" fillId="0" borderId="0" xfId="0" applyNumberFormat="1">
      <alignment vertical="center"/>
    </xf>
    <xf numFmtId="38" fontId="0" fillId="0" borderId="0" xfId="1" applyFont="1" applyAlignment="1">
      <alignment horizontal="right" vertical="center"/>
    </xf>
    <xf numFmtId="38" fontId="0" fillId="0" borderId="2" xfId="1" applyFont="1" applyBorder="1">
      <alignment vertical="center"/>
    </xf>
    <xf numFmtId="0" fontId="0" fillId="0" borderId="2" xfId="0" applyBorder="1">
      <alignment vertical="center"/>
    </xf>
    <xf numFmtId="0" fontId="0" fillId="5" borderId="0" xfId="0" applyFill="1">
      <alignment vertical="center"/>
    </xf>
    <xf numFmtId="38" fontId="0" fillId="5" borderId="0" xfId="0" applyNumberFormat="1" applyFill="1">
      <alignment vertical="center"/>
    </xf>
    <xf numFmtId="0" fontId="0" fillId="3" borderId="0" xfId="0" applyFill="1">
      <alignment vertical="center"/>
    </xf>
    <xf numFmtId="58" fontId="0" fillId="3" borderId="0" xfId="0" applyNumberFormat="1" applyFill="1" applyAlignment="1">
      <alignment horizontal="right" vertical="center"/>
    </xf>
    <xf numFmtId="38" fontId="0" fillId="3" borderId="0" xfId="1" applyFont="1" applyFill="1" applyBorder="1" applyAlignment="1">
      <alignment horizontal="right" vertical="center"/>
    </xf>
    <xf numFmtId="0" fontId="4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38" fontId="5" fillId="4" borderId="6" xfId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38" fontId="5" fillId="4" borderId="2" xfId="0" applyNumberFormat="1" applyFont="1" applyFill="1" applyBorder="1" applyAlignment="1">
      <alignment horizontal="right" vertical="center"/>
    </xf>
    <xf numFmtId="0" fontId="6" fillId="5" borderId="0" xfId="0" applyFont="1" applyFill="1">
      <alignment vertical="center"/>
    </xf>
    <xf numFmtId="0" fontId="7" fillId="4" borderId="12" xfId="0" applyFont="1" applyFill="1" applyBorder="1">
      <alignment vertical="center"/>
    </xf>
    <xf numFmtId="0" fontId="7" fillId="4" borderId="11" xfId="0" applyFont="1" applyFill="1" applyBorder="1">
      <alignment vertical="center"/>
    </xf>
    <xf numFmtId="0" fontId="7" fillId="4" borderId="13" xfId="0" applyFont="1" applyFill="1" applyBorder="1">
      <alignment vertical="center"/>
    </xf>
    <xf numFmtId="0" fontId="7" fillId="4" borderId="14" xfId="0" applyFont="1" applyFill="1" applyBorder="1">
      <alignment vertical="center"/>
    </xf>
    <xf numFmtId="0" fontId="7" fillId="4" borderId="0" xfId="0" applyFont="1" applyFill="1">
      <alignment vertical="center"/>
    </xf>
    <xf numFmtId="0" fontId="7" fillId="4" borderId="15" xfId="0" applyFont="1" applyFill="1" applyBorder="1">
      <alignment vertical="center"/>
    </xf>
    <xf numFmtId="0" fontId="7" fillId="4" borderId="16" xfId="0" applyFont="1" applyFill="1" applyBorder="1">
      <alignment vertical="center"/>
    </xf>
    <xf numFmtId="0" fontId="7" fillId="4" borderId="1" xfId="0" applyFont="1" applyFill="1" applyBorder="1">
      <alignment vertical="center"/>
    </xf>
    <xf numFmtId="0" fontId="7" fillId="4" borderId="17" xfId="0" applyFont="1" applyFill="1" applyBorder="1">
      <alignment vertical="center"/>
    </xf>
    <xf numFmtId="2" fontId="0" fillId="0" borderId="2" xfId="0" applyNumberFormat="1" applyBorder="1">
      <alignment vertical="center"/>
    </xf>
    <xf numFmtId="0" fontId="0" fillId="0" borderId="0" xfId="0" applyAlignment="1">
      <alignment horizontal="right" vertical="center"/>
    </xf>
    <xf numFmtId="38" fontId="0" fillId="0" borderId="0" xfId="0" applyNumberFormat="1" applyAlignment="1">
      <alignment horizontal="right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5" fillId="2" borderId="3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3" fillId="5" borderId="0" xfId="0" applyFont="1" applyFill="1" applyAlignment="1">
      <alignment horizontal="center" vertical="center"/>
    </xf>
    <xf numFmtId="0" fontId="8" fillId="5" borderId="0" xfId="0" applyFont="1" applyFill="1">
      <alignment vertical="center"/>
    </xf>
    <xf numFmtId="0" fontId="10" fillId="5" borderId="0" xfId="0" applyFont="1" applyFill="1" applyAlignment="1">
      <alignment horizontal="right"/>
    </xf>
    <xf numFmtId="0" fontId="10" fillId="5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11" fillId="3" borderId="14" xfId="0" applyFont="1" applyFill="1" applyBorder="1" applyAlignment="1">
      <alignment horizontal="left" vertical="center" wrapText="1"/>
    </xf>
    <xf numFmtId="177" fontId="10" fillId="5" borderId="0" xfId="0" applyNumberFormat="1" applyFont="1" applyFill="1" applyAlignment="1">
      <alignment horizontal="center"/>
    </xf>
    <xf numFmtId="0" fontId="11" fillId="0" borderId="0" xfId="0" applyFont="1">
      <alignment vertical="center"/>
    </xf>
    <xf numFmtId="0" fontId="15" fillId="3" borderId="0" xfId="0" applyFont="1" applyFill="1" applyAlignment="1"/>
    <xf numFmtId="0" fontId="15" fillId="3" borderId="0" xfId="0" applyFont="1" applyFill="1">
      <alignment vertical="center"/>
    </xf>
    <xf numFmtId="176" fontId="15" fillId="3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58" fontId="0" fillId="0" borderId="5" xfId="0" applyNumberFormat="1" applyBorder="1" applyAlignment="1" applyProtection="1">
      <alignment horizontal="right" vertical="center"/>
      <protection locked="0"/>
    </xf>
    <xf numFmtId="38" fontId="0" fillId="0" borderId="8" xfId="1" applyFont="1" applyBorder="1" applyAlignment="1" applyProtection="1">
      <alignment horizontal="right" vertical="center"/>
      <protection locked="0"/>
    </xf>
    <xf numFmtId="0" fontId="5" fillId="2" borderId="9" xfId="0" applyFont="1" applyFill="1" applyBorder="1">
      <alignment vertical="center"/>
    </xf>
    <xf numFmtId="58" fontId="0" fillId="0" borderId="10" xfId="0" applyNumberFormat="1" applyBorder="1" applyAlignment="1" applyProtection="1">
      <alignment horizontal="right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12" fillId="5" borderId="0" xfId="0" applyFont="1" applyFill="1">
      <alignment vertical="center"/>
    </xf>
    <xf numFmtId="38" fontId="0" fillId="0" borderId="0" xfId="1" applyFont="1">
      <alignment vertical="center"/>
    </xf>
    <xf numFmtId="178" fontId="0" fillId="0" borderId="0" xfId="1" applyNumberFormat="1" applyFont="1">
      <alignment vertical="center"/>
    </xf>
    <xf numFmtId="178" fontId="0" fillId="0" borderId="0" xfId="0" applyNumberFormat="1">
      <alignment vertical="center"/>
    </xf>
    <xf numFmtId="0" fontId="0" fillId="3" borderId="2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6" borderId="2" xfId="0" applyFont="1" applyFill="1" applyBorder="1" applyAlignment="1">
      <alignment horizontal="center" vertical="center"/>
    </xf>
    <xf numFmtId="178" fontId="5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shrinkToFit="1"/>
    </xf>
    <xf numFmtId="38" fontId="5" fillId="4" borderId="2" xfId="0" applyNumberFormat="1" applyFont="1" applyFill="1" applyBorder="1">
      <alignment vertical="center"/>
    </xf>
    <xf numFmtId="178" fontId="5" fillId="6" borderId="18" xfId="0" applyNumberFormat="1" applyFont="1" applyFill="1" applyBorder="1" applyAlignment="1">
      <alignment horizontal="center" vertical="center"/>
    </xf>
    <xf numFmtId="38" fontId="5" fillId="4" borderId="18" xfId="0" applyNumberFormat="1" applyFont="1" applyFill="1" applyBorder="1">
      <alignment vertical="center"/>
    </xf>
    <xf numFmtId="178" fontId="5" fillId="6" borderId="19" xfId="0" applyNumberFormat="1" applyFont="1" applyFill="1" applyBorder="1" applyAlignment="1">
      <alignment horizontal="center" vertical="center"/>
    </xf>
    <xf numFmtId="38" fontId="5" fillId="4" borderId="20" xfId="0" applyNumberFormat="1" applyFont="1" applyFill="1" applyBorder="1">
      <alignment vertical="center"/>
    </xf>
    <xf numFmtId="38" fontId="5" fillId="4" borderId="21" xfId="0" applyNumberFormat="1" applyFont="1" applyFill="1" applyBorder="1">
      <alignment vertical="center"/>
    </xf>
    <xf numFmtId="0" fontId="0" fillId="0" borderId="22" xfId="0" applyBorder="1">
      <alignment vertical="center"/>
    </xf>
    <xf numFmtId="176" fontId="0" fillId="0" borderId="23" xfId="0" applyNumberFormat="1" applyBorder="1">
      <alignment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24" xfId="0" applyFont="1" applyFill="1" applyBorder="1">
      <alignment vertical="center"/>
    </xf>
    <xf numFmtId="0" fontId="5" fillId="6" borderId="18" xfId="0" applyFont="1" applyFill="1" applyBorder="1" applyAlignment="1">
      <alignment horizontal="center" vertical="center" shrinkToFit="1"/>
    </xf>
    <xf numFmtId="38" fontId="5" fillId="4" borderId="18" xfId="1" applyFont="1" applyFill="1" applyBorder="1" applyAlignment="1">
      <alignment horizontal="right" vertical="center"/>
    </xf>
    <xf numFmtId="38" fontId="5" fillId="4" borderId="18" xfId="0" applyNumberFormat="1" applyFont="1" applyFill="1" applyBorder="1" applyAlignment="1">
      <alignment horizontal="right" vertical="center"/>
    </xf>
    <xf numFmtId="0" fontId="5" fillId="6" borderId="19" xfId="0" applyFont="1" applyFill="1" applyBorder="1" applyAlignment="1">
      <alignment horizontal="center" vertical="center"/>
    </xf>
    <xf numFmtId="38" fontId="5" fillId="4" borderId="20" xfId="0" applyNumberFormat="1" applyFont="1" applyFill="1" applyBorder="1" applyAlignment="1">
      <alignment horizontal="right" vertical="center"/>
    </xf>
    <xf numFmtId="38" fontId="5" fillId="4" borderId="21" xfId="0" applyNumberFormat="1" applyFont="1" applyFill="1" applyBorder="1" applyAlignment="1">
      <alignment horizontal="right" vertical="center"/>
    </xf>
    <xf numFmtId="0" fontId="16" fillId="6" borderId="2" xfId="0" applyFont="1" applyFill="1" applyBorder="1" applyAlignment="1">
      <alignment horizontal="center" vertical="center"/>
    </xf>
    <xf numFmtId="177" fontId="16" fillId="4" borderId="2" xfId="0" applyNumberFormat="1" applyFont="1" applyFill="1" applyBorder="1" applyAlignment="1">
      <alignment horizontal="center" vertical="center"/>
    </xf>
    <xf numFmtId="177" fontId="16" fillId="4" borderId="25" xfId="0" applyNumberFormat="1" applyFont="1" applyFill="1" applyBorder="1" applyAlignment="1">
      <alignment horizontal="center" vertical="center"/>
    </xf>
    <xf numFmtId="0" fontId="7" fillId="2" borderId="12" xfId="0" applyFont="1" applyFill="1" applyBorder="1">
      <alignment vertical="center"/>
    </xf>
    <xf numFmtId="0" fontId="7" fillId="2" borderId="13" xfId="0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15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2" borderId="17" xfId="0" applyFont="1" applyFill="1" applyBorder="1">
      <alignment vertical="center"/>
    </xf>
    <xf numFmtId="0" fontId="17" fillId="5" borderId="0" xfId="0" applyFont="1" applyFill="1">
      <alignment vertical="center"/>
    </xf>
    <xf numFmtId="0" fontId="7" fillId="2" borderId="11" xfId="0" applyFont="1" applyFill="1" applyBorder="1">
      <alignment vertical="center"/>
    </xf>
    <xf numFmtId="0" fontId="7" fillId="2" borderId="14" xfId="0" applyFont="1" applyFill="1" applyBorder="1">
      <alignment vertical="center"/>
    </xf>
    <xf numFmtId="0" fontId="7" fillId="2" borderId="16" xfId="0" applyFont="1" applyFill="1" applyBorder="1">
      <alignment vertical="center"/>
    </xf>
    <xf numFmtId="0" fontId="19" fillId="5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660066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941754</xdr:colOff>
      <xdr:row>0</xdr:row>
      <xdr:rowOff>33704</xdr:rowOff>
    </xdr:from>
    <xdr:to>
      <xdr:col>4</xdr:col>
      <xdr:colOff>187081</xdr:colOff>
      <xdr:row>1</xdr:row>
      <xdr:rowOff>180242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CA559CD-316C-4153-B783-63D95087043B}"/>
            </a:ext>
          </a:extLst>
        </xdr:cNvPr>
        <xdr:cNvSpPr/>
      </xdr:nvSpPr>
      <xdr:spPr>
        <a:xfrm>
          <a:off x="2668954" y="33704"/>
          <a:ext cx="1163027" cy="330688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 b="1">
              <a:solidFill>
                <a:srgbClr val="FF0000"/>
              </a:solidFill>
            </a:rPr>
            <a:t>入力画面</a:t>
          </a:r>
        </a:p>
      </xdr:txBody>
    </xdr:sp>
    <xdr:clientData/>
  </xdr:twoCellAnchor>
  <xdr:twoCellAnchor>
    <xdr:from>
      <xdr:col>11</xdr:col>
      <xdr:colOff>604716</xdr:colOff>
      <xdr:row>0</xdr:row>
      <xdr:rowOff>36146</xdr:rowOff>
    </xdr:from>
    <xdr:to>
      <xdr:col>13</xdr:col>
      <xdr:colOff>187081</xdr:colOff>
      <xdr:row>1</xdr:row>
      <xdr:rowOff>185615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0D03E45-2AEC-49EC-8ABD-0691956BB9ED}"/>
            </a:ext>
          </a:extLst>
        </xdr:cNvPr>
        <xdr:cNvSpPr/>
      </xdr:nvSpPr>
      <xdr:spPr>
        <a:xfrm>
          <a:off x="9443916" y="36146"/>
          <a:ext cx="1157165" cy="333619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 b="1">
              <a:solidFill>
                <a:srgbClr val="FF0000"/>
              </a:solidFill>
            </a:rPr>
            <a:t>試算結果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927100</xdr:colOff>
      <xdr:row>0</xdr:row>
      <xdr:rowOff>31750</xdr:rowOff>
    </xdr:from>
    <xdr:to>
      <xdr:col>4</xdr:col>
      <xdr:colOff>172427</xdr:colOff>
      <xdr:row>1</xdr:row>
      <xdr:rowOff>178288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A09158D-7441-4D4B-B133-3BE0B5CF79D4}"/>
            </a:ext>
          </a:extLst>
        </xdr:cNvPr>
        <xdr:cNvSpPr/>
      </xdr:nvSpPr>
      <xdr:spPr>
        <a:xfrm>
          <a:off x="2654300" y="31750"/>
          <a:ext cx="1163027" cy="330688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 b="1">
              <a:solidFill>
                <a:srgbClr val="FF0000"/>
              </a:solidFill>
            </a:rPr>
            <a:t>入力画面</a:t>
          </a:r>
        </a:p>
      </xdr:txBody>
    </xdr:sp>
    <xdr:clientData/>
  </xdr:twoCellAnchor>
  <xdr:twoCellAnchor>
    <xdr:from>
      <xdr:col>11</xdr:col>
      <xdr:colOff>584200</xdr:colOff>
      <xdr:row>0</xdr:row>
      <xdr:rowOff>25400</xdr:rowOff>
    </xdr:from>
    <xdr:to>
      <xdr:col>13</xdr:col>
      <xdr:colOff>166565</xdr:colOff>
      <xdr:row>1</xdr:row>
      <xdr:rowOff>174869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6DD9717-7EE8-450E-9BFB-9F093C34C0E4}"/>
            </a:ext>
          </a:extLst>
        </xdr:cNvPr>
        <xdr:cNvSpPr/>
      </xdr:nvSpPr>
      <xdr:spPr>
        <a:xfrm>
          <a:off x="9423400" y="25400"/>
          <a:ext cx="1157165" cy="333619"/>
        </a:xfrm>
        <a:prstGeom prst="rect">
          <a:avLst/>
        </a:prstGeom>
        <a:solidFill>
          <a:schemeClr val="bg1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 b="1">
              <a:solidFill>
                <a:srgbClr val="FF0000"/>
              </a:solidFill>
            </a:rPr>
            <a:t>試算結果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28575</xdr:rowOff>
    </xdr:from>
    <xdr:to>
      <xdr:col>6</xdr:col>
      <xdr:colOff>3200400</xdr:colOff>
      <xdr:row>20</xdr:row>
      <xdr:rowOff>47626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7BB4691B-DBC2-44E8-B7ED-487FEFCA1AEC}"/>
            </a:ext>
          </a:extLst>
        </xdr:cNvPr>
        <xdr:cNvSpPr/>
      </xdr:nvSpPr>
      <xdr:spPr>
        <a:xfrm>
          <a:off x="4610100" y="2609850"/>
          <a:ext cx="3086100" cy="1047751"/>
        </a:xfrm>
        <a:prstGeom prst="wedgeRectCallout">
          <a:avLst>
            <a:gd name="adj1" fmla="val -21010"/>
            <a:gd name="adj2" fmla="val -45044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このシートは率や前納時の割引率などを反映させるシートです。</a:t>
          </a:r>
          <a:endParaRPr kumimoji="1" lang="en-US" altLang="ja-JP" sz="1100">
            <a:solidFill>
              <a:srgbClr val="FF0000"/>
            </a:solidFill>
          </a:endParaRPr>
        </a:p>
        <a:p>
          <a:pPr algn="l"/>
          <a:r>
            <a:rPr kumimoji="1" lang="ja-JP" altLang="en-US" sz="1100">
              <a:solidFill>
                <a:srgbClr val="FF0000"/>
              </a:solidFill>
            </a:rPr>
            <a:t>完成版（ホームページ掲載分）では非表示とします。</a:t>
          </a:r>
          <a:endParaRPr kumimoji="1" lang="en-US" altLang="ja-JP" sz="1100">
            <a:solidFill>
              <a:srgbClr val="FF0000"/>
            </a:solidFill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F9E1-7DB7-49DC-85C6-CB63BC018231}">
  <dimension ref="A1:AF33"/>
  <sheetViews>
    <sheetView showGridLines="0" tabSelected="1" view="pageBreakPreview" zoomScale="150" zoomScaleNormal="130" zoomScaleSheetLayoutView="150" workbookViewId="0">
      <selection activeCell="C3" sqref="C3"/>
    </sheetView>
  </sheetViews>
  <sheetFormatPr defaultRowHeight="13.5"/>
  <cols>
    <col min="1" max="1" width="1.625" customWidth="1"/>
    <col min="2" max="2" width="21" customWidth="1"/>
    <col min="3" max="3" width="18.375" bestFit="1" customWidth="1"/>
    <col min="4" max="4" width="6.75" customWidth="1"/>
    <col min="5" max="7" width="2.75" customWidth="1"/>
    <col min="8" max="8" width="12.625" customWidth="1"/>
    <col min="9" max="12" width="15.75" customWidth="1"/>
    <col min="13" max="13" width="4.875" customWidth="1"/>
    <col min="14" max="14" width="2.75" customWidth="1"/>
    <col min="15" max="15" width="9.5" bestFit="1" customWidth="1"/>
    <col min="16" max="17" width="9.5" customWidth="1"/>
    <col min="18" max="18" width="5.5" bestFit="1" customWidth="1"/>
    <col min="19" max="19" width="29.375" bestFit="1" customWidth="1"/>
    <col min="20" max="20" width="16.125" bestFit="1" customWidth="1"/>
    <col min="21" max="21" width="10.5" bestFit="1" customWidth="1"/>
    <col min="22" max="22" width="2.5" bestFit="1" customWidth="1"/>
    <col min="23" max="23" width="3.5" bestFit="1" customWidth="1"/>
    <col min="24" max="24" width="9.5" bestFit="1" customWidth="1"/>
    <col min="25" max="25" width="5.5" bestFit="1" customWidth="1"/>
    <col min="26" max="26" width="10.5" bestFit="1" customWidth="1"/>
    <col min="28" max="28" width="13.875" bestFit="1" customWidth="1"/>
    <col min="29" max="31" width="10.75" customWidth="1"/>
  </cols>
  <sheetData>
    <row r="1" spans="1:32" ht="14.25" thickBot="1">
      <c r="A1" s="9"/>
      <c r="B1" s="9"/>
      <c r="C1" s="9"/>
      <c r="D1" s="9"/>
      <c r="E1" s="9"/>
      <c r="G1" s="7"/>
      <c r="H1" s="37" t="str">
        <f>IF(I1="","","対象年度＝")</f>
        <v>対象年度＝</v>
      </c>
      <c r="I1" s="38" t="str">
        <f>IF($C$3="","",INDEX(掛金率等!$B:$B,MATCH(Q1,掛金率等!$A:$A,0)))</f>
        <v>令和8</v>
      </c>
      <c r="J1" s="62" t="str">
        <f>IF(A3="","",W3)</f>
        <v/>
      </c>
      <c r="K1" s="62" t="str">
        <f>IF(B3="","",X3)</f>
        <v>加入年度</v>
      </c>
      <c r="L1" s="7"/>
      <c r="M1" s="62"/>
      <c r="N1" s="7"/>
      <c r="Q1" s="101">
        <f>IF(C3="","",Y3)</f>
        <v>2026</v>
      </c>
    </row>
    <row r="2" spans="1:32" ht="27.75" thickBot="1">
      <c r="A2" s="9"/>
      <c r="B2" s="9"/>
      <c r="C2" s="9"/>
      <c r="D2" s="10"/>
      <c r="E2" s="9"/>
      <c r="G2" s="7"/>
      <c r="H2" s="12" t="s">
        <v>33</v>
      </c>
      <c r="I2" s="13" t="s">
        <v>19</v>
      </c>
      <c r="J2" s="13" t="s">
        <v>20</v>
      </c>
      <c r="K2" s="79" t="s">
        <v>57</v>
      </c>
      <c r="L2" s="7"/>
      <c r="M2" s="62"/>
      <c r="N2" s="7"/>
      <c r="Q2" s="101">
        <f>IF(C4="","",Y4)</f>
        <v>0</v>
      </c>
      <c r="S2" t="s">
        <v>2</v>
      </c>
      <c r="T2" s="2">
        <f>IF($C$3="","",$C$3)</f>
        <v>46234</v>
      </c>
      <c r="U2">
        <f>IF(T2="","",YEAR(T2))</f>
        <v>2026</v>
      </c>
      <c r="V2">
        <f>IF(T2="","",MONTH(T2))</f>
        <v>7</v>
      </c>
      <c r="W2" t="s">
        <v>7</v>
      </c>
      <c r="X2" t="s">
        <v>8</v>
      </c>
      <c r="Y2">
        <f>IF($C$3="","",IF(V2&lt;4,U2-1,U2))</f>
        <v>2026</v>
      </c>
    </row>
    <row r="3" spans="1:32" ht="14.25" thickBot="1">
      <c r="A3" s="9"/>
      <c r="B3" s="33" t="s">
        <v>2</v>
      </c>
      <c r="C3" s="56">
        <v>46234</v>
      </c>
      <c r="D3" s="11"/>
      <c r="E3" s="9"/>
      <c r="G3" s="7"/>
      <c r="H3" s="14">
        <f>IF(OR($C$3="",$C$5=""),"",IF(T4&lt;T5,T4,T5))</f>
        <v>220000</v>
      </c>
      <c r="I3" s="15">
        <f>IF(OR($C$3="",$C$5=""),"",INDEX(掛金率等!D:D,MATCH($Y$3,掛金率等!$A:$A,0)))</f>
        <v>93.2</v>
      </c>
      <c r="J3" s="15">
        <f>IF(OR($C$3="",$C$5=""),"",INDEX(掛金率等!E:E,MATCH($Y$3,掛金率等!$A:$A,0)))</f>
        <v>15.76</v>
      </c>
      <c r="K3" s="16">
        <f>IF(OR($C$3="",$C$5=""),"",INDEX(掛金率等!F:F,MATCH($Y$3,掛金率等!$A:$A,0)))</f>
        <v>2.2999999999999998</v>
      </c>
      <c r="L3" s="7"/>
      <c r="M3" s="62"/>
      <c r="N3" s="7"/>
      <c r="Q3" s="101">
        <f>IF(C5="","",Y5)</f>
        <v>0</v>
      </c>
      <c r="S3" t="s">
        <v>10</v>
      </c>
      <c r="T3" s="2">
        <f>IF($C$3="","",$T$2+1)</f>
        <v>46235</v>
      </c>
      <c r="U3">
        <f>IF(T3="","",YEAR(T3))</f>
        <v>2026</v>
      </c>
      <c r="V3">
        <f>IF(T3="","",MONTH(T3))</f>
        <v>8</v>
      </c>
      <c r="W3" t="s">
        <v>7</v>
      </c>
      <c r="X3" t="s">
        <v>11</v>
      </c>
      <c r="Y3">
        <f>IF($C$3="","",IF(V3&lt;4,U3-1,U3))</f>
        <v>2026</v>
      </c>
      <c r="Z3">
        <f>IF(T3="","",MONTH(T3))</f>
        <v>8</v>
      </c>
    </row>
    <row r="4" spans="1:32">
      <c r="A4" s="9"/>
      <c r="B4" s="58" t="s">
        <v>51</v>
      </c>
      <c r="C4" s="59">
        <v>23626</v>
      </c>
      <c r="D4" s="11"/>
      <c r="E4" s="9"/>
      <c r="G4" s="7"/>
      <c r="H4" s="36" t="s">
        <v>34</v>
      </c>
      <c r="I4" s="35"/>
      <c r="J4" s="35"/>
      <c r="K4" s="35"/>
      <c r="L4" s="62" t="str">
        <f>IF(C6="","",Y6)</f>
        <v/>
      </c>
      <c r="M4" s="62"/>
      <c r="N4" s="7"/>
      <c r="S4" t="s">
        <v>3</v>
      </c>
      <c r="T4" s="3">
        <f>IF($C$5="","",$C$5)</f>
        <v>220000</v>
      </c>
      <c r="U4" s="1"/>
      <c r="V4" s="1"/>
      <c r="X4" s="1"/>
    </row>
    <row r="5" spans="1:32" ht="14.25" thickBot="1">
      <c r="A5" s="9"/>
      <c r="B5" s="34" t="s">
        <v>3</v>
      </c>
      <c r="C5" s="57">
        <v>220000</v>
      </c>
      <c r="D5" s="9"/>
      <c r="E5" s="9"/>
      <c r="G5" s="7"/>
      <c r="H5" s="36" t="s">
        <v>35</v>
      </c>
      <c r="I5" s="35"/>
      <c r="J5" s="35"/>
      <c r="K5" s="35"/>
      <c r="L5" s="62" t="str">
        <f>IF(C7="","",Y7)</f>
        <v/>
      </c>
      <c r="M5" s="62"/>
      <c r="N5" s="7"/>
      <c r="S5" t="s">
        <v>42</v>
      </c>
      <c r="T5" s="4">
        <f>IF(Y3="","",INDEX(掛金率等!C:C,MATCH(Y3,掛金率等!A:A,0)))</f>
        <v>410000</v>
      </c>
    </row>
    <row r="6" spans="1:32">
      <c r="A6" s="9"/>
      <c r="B6" s="9" t="s">
        <v>21</v>
      </c>
      <c r="C6" s="9"/>
      <c r="D6" s="9"/>
      <c r="E6" s="9"/>
      <c r="G6" s="7"/>
      <c r="H6" s="36"/>
      <c r="I6" s="35"/>
      <c r="J6" s="35"/>
      <c r="K6" s="35"/>
      <c r="L6" s="7"/>
      <c r="M6" s="7"/>
      <c r="N6" s="7"/>
      <c r="S6" s="29" t="s">
        <v>14</v>
      </c>
      <c r="T6" s="30">
        <f>IF(V3="","",INDEX(掛金率等!N:N,MATCH(V3,掛金率等!M:M,0)))</f>
        <v>7</v>
      </c>
      <c r="X6" t="s">
        <v>61</v>
      </c>
      <c r="AA6" s="1" t="s">
        <v>53</v>
      </c>
      <c r="AB6" s="1" t="s">
        <v>56</v>
      </c>
      <c r="AC6" s="67" t="s">
        <v>0</v>
      </c>
      <c r="AD6" s="67" t="s">
        <v>1</v>
      </c>
      <c r="AE6" s="67" t="s">
        <v>54</v>
      </c>
      <c r="AF6" s="67" t="s">
        <v>6</v>
      </c>
    </row>
    <row r="7" spans="1:32">
      <c r="A7" s="9"/>
      <c r="B7" s="20" t="s">
        <v>22</v>
      </c>
      <c r="C7" s="19"/>
      <c r="D7" s="21"/>
      <c r="E7" s="9"/>
      <c r="G7" s="7"/>
      <c r="H7" s="18" t="s">
        <v>18</v>
      </c>
      <c r="I7" s="7"/>
      <c r="J7" s="7"/>
      <c r="K7" s="7"/>
      <c r="L7" s="7"/>
      <c r="M7" s="7"/>
      <c r="N7" s="7"/>
      <c r="S7" t="s">
        <v>51</v>
      </c>
      <c r="T7" s="60">
        <f>IF(C4="","",C4)</f>
        <v>23626</v>
      </c>
      <c r="U7" s="1"/>
      <c r="X7">
        <f>IF(Y7="","",$Y$3)</f>
        <v>2026</v>
      </c>
      <c r="Y7" s="64">
        <f>IF(Z3="","",Z3)</f>
        <v>8</v>
      </c>
      <c r="Z7" s="61">
        <f>IF(Y7="","",VALUE(X7&amp;"/"&amp;Y7&amp;"/1"))</f>
        <v>46235</v>
      </c>
      <c r="AA7">
        <f>IF(OR($C$3="",$C$5="",$C$4="",Y7=""),"",DATEDIF($T$7,Z7,"Y"))</f>
        <v>61</v>
      </c>
      <c r="AB7" s="63">
        <f>IF(Y7="","",$H$3)</f>
        <v>220000</v>
      </c>
      <c r="AC7" s="63">
        <f>IF(AA7="","",IF(AA7&gt;=75,0,ROUNDDOWN(AB7*$I$3/1000,0)))</f>
        <v>20504</v>
      </c>
      <c r="AD7" s="63">
        <f>IF(AA7="","",IF(OR(AA7&lt;40,AA7&gt;=65),0,ROUNDDOWN(AB7*$J$3/1000,0)))</f>
        <v>3467</v>
      </c>
      <c r="AE7" s="63">
        <f>IF(AA7="","",IF(AA7&gt;=75,0,ROUNDDOWN(AB7*$K$3/1000,0)))</f>
        <v>506</v>
      </c>
      <c r="AF7" s="3">
        <f>SUM(AC7:AE7)</f>
        <v>24477</v>
      </c>
    </row>
    <row r="8" spans="1:32">
      <c r="A8" s="9"/>
      <c r="B8" s="22" t="s">
        <v>37</v>
      </c>
      <c r="C8" s="23"/>
      <c r="D8" s="24"/>
      <c r="E8" s="9"/>
      <c r="G8" s="7"/>
      <c r="H8" s="68" t="s">
        <v>58</v>
      </c>
      <c r="I8" s="68" t="s">
        <v>12</v>
      </c>
      <c r="J8" s="68" t="s">
        <v>9</v>
      </c>
      <c r="K8" s="70" t="s">
        <v>54</v>
      </c>
      <c r="L8" s="68" t="s">
        <v>6</v>
      </c>
      <c r="M8" s="7"/>
      <c r="N8" s="7"/>
      <c r="X8">
        <f>IF(Y8="","",IF(Y7=12,X7+1,X7))</f>
        <v>2026</v>
      </c>
      <c r="Y8" s="65">
        <f>IF(Y7="","",IF(Y7=3,"",IF(Y7=12,1,Y7+1)))</f>
        <v>9</v>
      </c>
      <c r="Z8" s="61">
        <f t="shared" ref="Z8:Z18" si="0">IF(Y8="","",VALUE(X8&amp;"/"&amp;Y8&amp;"/1"))</f>
        <v>46266</v>
      </c>
      <c r="AA8">
        <f t="shared" ref="AA8:AA18" si="1">IF(OR($C$3="",$C$5="",$C$4="",Y8=""),"",DATEDIF($T$7,Z8,"Y"))</f>
        <v>61</v>
      </c>
      <c r="AB8" s="63">
        <f t="shared" ref="AB8:AB18" si="2">IF(Y8="","",$H$3)</f>
        <v>220000</v>
      </c>
      <c r="AC8" s="63">
        <f t="shared" ref="AC8:AC18" si="3">IF(AA8="","",IF(AA8&gt;=75,0,ROUNDDOWN(AB8*$I$3/1000,0)))</f>
        <v>20504</v>
      </c>
      <c r="AD8" s="63">
        <f t="shared" ref="AD8:AD18" si="4">IF(AA8="","",IF(OR(AA8&lt;40,AA8&gt;=65),0,ROUNDDOWN(AB8*$J$3/1000,0)))</f>
        <v>3467</v>
      </c>
      <c r="AE8" s="63">
        <f t="shared" ref="AE8:AE18" si="5">IF(AA8="","",IF(AA8&gt;=75,0,ROUNDDOWN(AB8*$K$3/1000,0)))</f>
        <v>506</v>
      </c>
      <c r="AF8" s="3">
        <f t="shared" ref="AF8:AF18" si="6">SUM(AC8:AE8)</f>
        <v>24477</v>
      </c>
    </row>
    <row r="9" spans="1:32">
      <c r="A9" s="9"/>
      <c r="B9" s="25" t="s">
        <v>36</v>
      </c>
      <c r="C9" s="26"/>
      <c r="D9" s="27"/>
      <c r="E9" s="9"/>
      <c r="G9" s="7"/>
      <c r="H9" s="69">
        <f t="shared" ref="H9:H20" si="7">Y7</f>
        <v>8</v>
      </c>
      <c r="I9" s="71">
        <f>IF(AC7="","",AC7)</f>
        <v>20504</v>
      </c>
      <c r="J9" s="71">
        <f t="shared" ref="J9:K9" si="8">IF(AD7="","",AD7)</f>
        <v>3467</v>
      </c>
      <c r="K9" s="71">
        <f t="shared" si="8"/>
        <v>506</v>
      </c>
      <c r="L9" s="71">
        <f>IF(OR($C$3="",$C$5="",AF7=""),"",AF7)</f>
        <v>24477</v>
      </c>
      <c r="M9" s="7"/>
      <c r="N9" s="7"/>
      <c r="T9" s="1"/>
      <c r="X9">
        <f t="shared" ref="X9:X18" si="9">IF(Y9="","",IF(Y8=12,X8+1,X8))</f>
        <v>2026</v>
      </c>
      <c r="Y9" s="65">
        <f t="shared" ref="Y9:Y18" si="10">IF(Y8="","",IF(Y8=3,"",IF(Y8=12,1,Y8+1)))</f>
        <v>10</v>
      </c>
      <c r="Z9" s="61">
        <f t="shared" si="0"/>
        <v>46296</v>
      </c>
      <c r="AA9">
        <f t="shared" si="1"/>
        <v>62</v>
      </c>
      <c r="AB9" s="63">
        <f t="shared" si="2"/>
        <v>220000</v>
      </c>
      <c r="AC9" s="63">
        <f t="shared" si="3"/>
        <v>20504</v>
      </c>
      <c r="AD9" s="63">
        <f t="shared" si="4"/>
        <v>3467</v>
      </c>
      <c r="AE9" s="63">
        <f t="shared" si="5"/>
        <v>506</v>
      </c>
      <c r="AF9" s="3">
        <f t="shared" si="6"/>
        <v>24477</v>
      </c>
    </row>
    <row r="10" spans="1:32">
      <c r="A10" s="9"/>
      <c r="B10" s="9"/>
      <c r="C10" s="9"/>
      <c r="D10" s="9"/>
      <c r="E10" s="9"/>
      <c r="G10" s="7"/>
      <c r="H10" s="69">
        <f>Y8</f>
        <v>9</v>
      </c>
      <c r="I10" s="71">
        <f t="shared" ref="I10:K10" si="11">IF(AC8="","",AC8)</f>
        <v>20504</v>
      </c>
      <c r="J10" s="71">
        <f t="shared" si="11"/>
        <v>3467</v>
      </c>
      <c r="K10" s="71">
        <f t="shared" si="11"/>
        <v>506</v>
      </c>
      <c r="L10" s="71">
        <f t="shared" ref="L10:L20" si="12">IF(OR($C$3="",$C$5="",AF8=""),"",AF8)</f>
        <v>24477</v>
      </c>
      <c r="M10" s="7"/>
      <c r="N10" s="7"/>
      <c r="T10" s="1"/>
      <c r="X10">
        <f t="shared" si="9"/>
        <v>2026</v>
      </c>
      <c r="Y10" s="65">
        <f t="shared" si="10"/>
        <v>11</v>
      </c>
      <c r="Z10" s="61">
        <f t="shared" si="0"/>
        <v>46327</v>
      </c>
      <c r="AA10">
        <f t="shared" si="1"/>
        <v>62</v>
      </c>
      <c r="AB10" s="63">
        <f t="shared" si="2"/>
        <v>220000</v>
      </c>
      <c r="AC10" s="63">
        <f t="shared" si="3"/>
        <v>20504</v>
      </c>
      <c r="AD10" s="63">
        <f t="shared" si="4"/>
        <v>3467</v>
      </c>
      <c r="AE10" s="63">
        <f t="shared" si="5"/>
        <v>506</v>
      </c>
      <c r="AF10" s="3">
        <f t="shared" si="6"/>
        <v>24477</v>
      </c>
    </row>
    <row r="11" spans="1:32">
      <c r="A11" s="9"/>
      <c r="B11" s="98" t="s">
        <v>81</v>
      </c>
      <c r="C11" s="90"/>
      <c r="D11" s="91"/>
      <c r="E11" s="9"/>
      <c r="G11" s="7"/>
      <c r="H11" s="69">
        <f t="shared" si="7"/>
        <v>10</v>
      </c>
      <c r="I11" s="71">
        <f t="shared" ref="I11:K11" si="13">IF(AC9="","",AC9)</f>
        <v>20504</v>
      </c>
      <c r="J11" s="71">
        <f t="shared" si="13"/>
        <v>3467</v>
      </c>
      <c r="K11" s="71">
        <f t="shared" si="13"/>
        <v>506</v>
      </c>
      <c r="L11" s="71">
        <f t="shared" si="12"/>
        <v>24477</v>
      </c>
      <c r="M11" s="7"/>
      <c r="N11" s="7"/>
      <c r="S11" s="1"/>
      <c r="T11" s="60"/>
      <c r="U11" s="61"/>
      <c r="X11">
        <f t="shared" si="9"/>
        <v>2026</v>
      </c>
      <c r="Y11" s="65">
        <f t="shared" si="10"/>
        <v>12</v>
      </c>
      <c r="Z11" s="61">
        <f t="shared" si="0"/>
        <v>46357</v>
      </c>
      <c r="AA11">
        <f t="shared" si="1"/>
        <v>62</v>
      </c>
      <c r="AB11" s="63">
        <f t="shared" si="2"/>
        <v>220000</v>
      </c>
      <c r="AC11" s="63">
        <f t="shared" si="3"/>
        <v>20504</v>
      </c>
      <c r="AD11" s="63">
        <f t="shared" si="4"/>
        <v>3467</v>
      </c>
      <c r="AE11" s="63">
        <f t="shared" si="5"/>
        <v>506</v>
      </c>
      <c r="AF11" s="3">
        <f t="shared" si="6"/>
        <v>24477</v>
      </c>
    </row>
    <row r="12" spans="1:32">
      <c r="A12" s="9"/>
      <c r="B12" s="99" t="s">
        <v>82</v>
      </c>
      <c r="C12" s="92"/>
      <c r="D12" s="93"/>
      <c r="E12" s="9"/>
      <c r="G12" s="7"/>
      <c r="H12" s="69">
        <f t="shared" si="7"/>
        <v>11</v>
      </c>
      <c r="I12" s="71">
        <f t="shared" ref="I12:K12" si="14">IF(AC10="","",AC10)</f>
        <v>20504</v>
      </c>
      <c r="J12" s="71">
        <f t="shared" si="14"/>
        <v>3467</v>
      </c>
      <c r="K12" s="71">
        <f t="shared" si="14"/>
        <v>506</v>
      </c>
      <c r="L12" s="71">
        <f t="shared" si="12"/>
        <v>24477</v>
      </c>
      <c r="M12" s="7"/>
      <c r="N12" s="7"/>
      <c r="S12" s="1"/>
      <c r="T12" s="60"/>
      <c r="U12" s="61"/>
      <c r="X12">
        <f t="shared" si="9"/>
        <v>2027</v>
      </c>
      <c r="Y12" s="65">
        <f t="shared" si="10"/>
        <v>1</v>
      </c>
      <c r="Z12" s="61">
        <f t="shared" si="0"/>
        <v>46388</v>
      </c>
      <c r="AA12">
        <f t="shared" si="1"/>
        <v>62</v>
      </c>
      <c r="AB12" s="63">
        <f t="shared" si="2"/>
        <v>220000</v>
      </c>
      <c r="AC12" s="63">
        <f t="shared" si="3"/>
        <v>20504</v>
      </c>
      <c r="AD12" s="63">
        <f t="shared" si="4"/>
        <v>3467</v>
      </c>
      <c r="AE12" s="63">
        <f t="shared" si="5"/>
        <v>506</v>
      </c>
      <c r="AF12" s="3">
        <f t="shared" si="6"/>
        <v>24477</v>
      </c>
    </row>
    <row r="13" spans="1:32">
      <c r="A13" s="9"/>
      <c r="B13" s="99" t="s">
        <v>71</v>
      </c>
      <c r="C13" s="94"/>
      <c r="D13" s="93"/>
      <c r="E13" s="9"/>
      <c r="G13" s="7"/>
      <c r="H13" s="69">
        <f t="shared" si="7"/>
        <v>12</v>
      </c>
      <c r="I13" s="71">
        <f t="shared" ref="I13:K13" si="15">IF(AC11="","",AC11)</f>
        <v>20504</v>
      </c>
      <c r="J13" s="71">
        <f t="shared" si="15"/>
        <v>3467</v>
      </c>
      <c r="K13" s="71">
        <f t="shared" si="15"/>
        <v>506</v>
      </c>
      <c r="L13" s="71">
        <f t="shared" si="12"/>
        <v>24477</v>
      </c>
      <c r="M13" s="7"/>
      <c r="N13" s="7"/>
      <c r="X13">
        <f t="shared" si="9"/>
        <v>2027</v>
      </c>
      <c r="Y13" s="65">
        <f t="shared" si="10"/>
        <v>2</v>
      </c>
      <c r="Z13" s="61">
        <f t="shared" si="0"/>
        <v>46419</v>
      </c>
      <c r="AA13">
        <f t="shared" si="1"/>
        <v>62</v>
      </c>
      <c r="AB13" s="63">
        <f t="shared" si="2"/>
        <v>220000</v>
      </c>
      <c r="AC13" s="63">
        <f t="shared" si="3"/>
        <v>20504</v>
      </c>
      <c r="AD13" s="63">
        <f t="shared" si="4"/>
        <v>3467</v>
      </c>
      <c r="AE13" s="63">
        <f t="shared" si="5"/>
        <v>506</v>
      </c>
      <c r="AF13" s="3">
        <f t="shared" si="6"/>
        <v>24477</v>
      </c>
    </row>
    <row r="14" spans="1:32">
      <c r="A14" s="9"/>
      <c r="B14" s="99" t="s">
        <v>72</v>
      </c>
      <c r="C14" s="94"/>
      <c r="D14" s="93"/>
      <c r="E14" s="9"/>
      <c r="G14" s="7"/>
      <c r="H14" s="69">
        <f t="shared" si="7"/>
        <v>1</v>
      </c>
      <c r="I14" s="71">
        <f t="shared" ref="I14:K14" si="16">IF(AC12="","",AC12)</f>
        <v>20504</v>
      </c>
      <c r="J14" s="71">
        <f t="shared" si="16"/>
        <v>3467</v>
      </c>
      <c r="K14" s="71">
        <f t="shared" si="16"/>
        <v>506</v>
      </c>
      <c r="L14" s="71">
        <f t="shared" si="12"/>
        <v>24477</v>
      </c>
      <c r="M14" s="7"/>
      <c r="N14" s="7"/>
      <c r="S14" s="1"/>
      <c r="X14">
        <f t="shared" si="9"/>
        <v>2027</v>
      </c>
      <c r="Y14" s="65">
        <f t="shared" si="10"/>
        <v>3</v>
      </c>
      <c r="Z14" s="61">
        <f t="shared" si="0"/>
        <v>46447</v>
      </c>
      <c r="AA14">
        <f t="shared" si="1"/>
        <v>62</v>
      </c>
      <c r="AB14" s="63">
        <f t="shared" si="2"/>
        <v>220000</v>
      </c>
      <c r="AC14" s="63">
        <f t="shared" si="3"/>
        <v>20504</v>
      </c>
      <c r="AD14" s="63">
        <f t="shared" si="4"/>
        <v>3467</v>
      </c>
      <c r="AE14" s="63">
        <f t="shared" si="5"/>
        <v>506</v>
      </c>
      <c r="AF14" s="3">
        <f t="shared" si="6"/>
        <v>24477</v>
      </c>
    </row>
    <row r="15" spans="1:32">
      <c r="A15" s="9"/>
      <c r="B15" s="99" t="s">
        <v>74</v>
      </c>
      <c r="C15" s="94"/>
      <c r="D15" s="93"/>
      <c r="E15" s="9"/>
      <c r="G15" s="7"/>
      <c r="H15" s="69">
        <f t="shared" si="7"/>
        <v>2</v>
      </c>
      <c r="I15" s="71">
        <f t="shared" ref="I15:K15" si="17">IF(AC13="","",AC13)</f>
        <v>20504</v>
      </c>
      <c r="J15" s="71">
        <f t="shared" si="17"/>
        <v>3467</v>
      </c>
      <c r="K15" s="71">
        <f t="shared" si="17"/>
        <v>506</v>
      </c>
      <c r="L15" s="71">
        <f t="shared" si="12"/>
        <v>24477</v>
      </c>
      <c r="M15" s="7"/>
      <c r="N15" s="7"/>
      <c r="S15" s="1"/>
      <c r="X15" t="str">
        <f t="shared" si="9"/>
        <v/>
      </c>
      <c r="Y15" s="65" t="str">
        <f t="shared" si="10"/>
        <v/>
      </c>
      <c r="Z15" s="61" t="str">
        <f t="shared" si="0"/>
        <v/>
      </c>
      <c r="AA15" t="str">
        <f t="shared" si="1"/>
        <v/>
      </c>
      <c r="AB15" s="63" t="str">
        <f t="shared" si="2"/>
        <v/>
      </c>
      <c r="AC15" s="63" t="str">
        <f t="shared" si="3"/>
        <v/>
      </c>
      <c r="AD15" s="63" t="str">
        <f t="shared" si="4"/>
        <v/>
      </c>
      <c r="AE15" s="63" t="str">
        <f t="shared" si="5"/>
        <v/>
      </c>
      <c r="AF15" s="3">
        <f t="shared" si="6"/>
        <v>0</v>
      </c>
    </row>
    <row r="16" spans="1:32">
      <c r="A16" s="9"/>
      <c r="B16" s="100" t="s">
        <v>73</v>
      </c>
      <c r="C16" s="95"/>
      <c r="D16" s="96"/>
      <c r="E16" s="9"/>
      <c r="G16" s="7"/>
      <c r="H16" s="69">
        <f t="shared" si="7"/>
        <v>3</v>
      </c>
      <c r="I16" s="71">
        <f t="shared" ref="I16:K16" si="18">IF(AC14="","",AC14)</f>
        <v>20504</v>
      </c>
      <c r="J16" s="71">
        <f t="shared" si="18"/>
        <v>3467</v>
      </c>
      <c r="K16" s="71">
        <f t="shared" si="18"/>
        <v>506</v>
      </c>
      <c r="L16" s="71">
        <f t="shared" si="12"/>
        <v>24477</v>
      </c>
      <c r="M16" s="7"/>
      <c r="N16" s="7"/>
      <c r="X16" t="str">
        <f t="shared" si="9"/>
        <v/>
      </c>
      <c r="Y16" s="65" t="str">
        <f t="shared" si="10"/>
        <v/>
      </c>
      <c r="Z16" s="61" t="str">
        <f t="shared" si="0"/>
        <v/>
      </c>
      <c r="AA16" t="str">
        <f t="shared" si="1"/>
        <v/>
      </c>
      <c r="AB16" s="63" t="str">
        <f t="shared" si="2"/>
        <v/>
      </c>
      <c r="AC16" s="63" t="str">
        <f t="shared" si="3"/>
        <v/>
      </c>
      <c r="AD16" s="63" t="str">
        <f t="shared" si="4"/>
        <v/>
      </c>
      <c r="AE16" s="63" t="str">
        <f t="shared" si="5"/>
        <v/>
      </c>
      <c r="AF16" s="3">
        <f t="shared" si="6"/>
        <v>0</v>
      </c>
    </row>
    <row r="17" spans="1:32">
      <c r="A17" s="9"/>
      <c r="B17" s="9"/>
      <c r="C17" s="9"/>
      <c r="D17" s="9"/>
      <c r="E17" s="9"/>
      <c r="G17" s="7"/>
      <c r="H17" s="69" t="str">
        <f t="shared" si="7"/>
        <v/>
      </c>
      <c r="I17" s="71" t="str">
        <f t="shared" ref="I17:K17" si="19">IF(AC15="","",AC15)</f>
        <v/>
      </c>
      <c r="J17" s="71" t="str">
        <f t="shared" si="19"/>
        <v/>
      </c>
      <c r="K17" s="71" t="str">
        <f t="shared" si="19"/>
        <v/>
      </c>
      <c r="L17" s="71">
        <f t="shared" si="12"/>
        <v>0</v>
      </c>
      <c r="M17" s="7"/>
      <c r="N17" s="7"/>
      <c r="X17" t="str">
        <f t="shared" si="9"/>
        <v/>
      </c>
      <c r="Y17" s="65" t="str">
        <f t="shared" si="10"/>
        <v/>
      </c>
      <c r="Z17" s="61" t="str">
        <f t="shared" si="0"/>
        <v/>
      </c>
      <c r="AA17" t="str">
        <f t="shared" si="1"/>
        <v/>
      </c>
      <c r="AB17" s="63" t="str">
        <f t="shared" si="2"/>
        <v/>
      </c>
      <c r="AC17" s="63" t="str">
        <f t="shared" si="3"/>
        <v/>
      </c>
      <c r="AD17" s="63" t="str">
        <f t="shared" si="4"/>
        <v/>
      </c>
      <c r="AE17" s="63" t="str">
        <f t="shared" si="5"/>
        <v/>
      </c>
      <c r="AF17" s="3">
        <f t="shared" si="6"/>
        <v>0</v>
      </c>
    </row>
    <row r="18" spans="1:32">
      <c r="G18" s="7"/>
      <c r="H18" s="69" t="str">
        <f t="shared" si="7"/>
        <v/>
      </c>
      <c r="I18" s="71" t="str">
        <f t="shared" ref="I18:K18" si="20">IF(AC16="","",AC16)</f>
        <v/>
      </c>
      <c r="J18" s="71" t="str">
        <f t="shared" si="20"/>
        <v/>
      </c>
      <c r="K18" s="71" t="str">
        <f t="shared" si="20"/>
        <v/>
      </c>
      <c r="L18" s="71">
        <f t="shared" si="12"/>
        <v>0</v>
      </c>
      <c r="M18" s="7"/>
      <c r="N18" s="7"/>
      <c r="X18" t="str">
        <f t="shared" si="9"/>
        <v/>
      </c>
      <c r="Y18" s="65" t="str">
        <f t="shared" si="10"/>
        <v/>
      </c>
      <c r="Z18" s="61" t="str">
        <f t="shared" si="0"/>
        <v/>
      </c>
      <c r="AA18" t="str">
        <f t="shared" si="1"/>
        <v/>
      </c>
      <c r="AB18" s="63" t="str">
        <f t="shared" si="2"/>
        <v/>
      </c>
      <c r="AC18" s="63" t="str">
        <f t="shared" si="3"/>
        <v/>
      </c>
      <c r="AD18" s="63" t="str">
        <f t="shared" si="4"/>
        <v/>
      </c>
      <c r="AE18" s="63" t="str">
        <f t="shared" si="5"/>
        <v/>
      </c>
      <c r="AF18" s="3">
        <f t="shared" si="6"/>
        <v>0</v>
      </c>
    </row>
    <row r="19" spans="1:32">
      <c r="G19" s="7"/>
      <c r="H19" s="69" t="str">
        <f t="shared" si="7"/>
        <v/>
      </c>
      <c r="I19" s="71" t="str">
        <f t="shared" ref="I19:K19" si="21">IF(AC17="","",AC17)</f>
        <v/>
      </c>
      <c r="J19" s="71" t="str">
        <f t="shared" si="21"/>
        <v/>
      </c>
      <c r="K19" s="71" t="str">
        <f t="shared" si="21"/>
        <v/>
      </c>
      <c r="L19" s="71">
        <f t="shared" si="12"/>
        <v>0</v>
      </c>
      <c r="M19" s="7"/>
      <c r="N19" s="7"/>
      <c r="Y19" s="65"/>
      <c r="AC19" s="3">
        <f>SUM(AC7:AC18)</f>
        <v>164032</v>
      </c>
      <c r="AD19" s="3">
        <f t="shared" ref="AD19:AF19" si="22">SUM(AD7:AD18)</f>
        <v>27736</v>
      </c>
      <c r="AE19" s="3">
        <f t="shared" si="22"/>
        <v>4048</v>
      </c>
      <c r="AF19" s="3">
        <f t="shared" si="22"/>
        <v>195816</v>
      </c>
    </row>
    <row r="20" spans="1:32" ht="14.25" thickBot="1">
      <c r="G20" s="7"/>
      <c r="H20" s="72" t="str">
        <f t="shared" si="7"/>
        <v/>
      </c>
      <c r="I20" s="73" t="str">
        <f t="shared" ref="I20:K20" si="23">IF(AC18="","",AC18)</f>
        <v/>
      </c>
      <c r="J20" s="73" t="str">
        <f t="shared" si="23"/>
        <v/>
      </c>
      <c r="K20" s="73" t="str">
        <f t="shared" si="23"/>
        <v/>
      </c>
      <c r="L20" s="73">
        <f t="shared" si="12"/>
        <v>0</v>
      </c>
      <c r="M20" s="7"/>
      <c r="N20" s="7"/>
      <c r="Y20" s="65"/>
      <c r="AC20" s="3">
        <f>IF(OR($C$3="",$C$5="",SUM(AC7:AC18)=0),0,AC19/AC22)</f>
        <v>20504</v>
      </c>
      <c r="AD20" s="3">
        <f t="shared" ref="AD20:AE20" si="24">IF(OR($C$3="",$C$5="",SUM(AD7:AD18)=0),0,AD19/AD22)</f>
        <v>3467</v>
      </c>
      <c r="AE20" s="3">
        <f t="shared" si="24"/>
        <v>506</v>
      </c>
    </row>
    <row r="21" spans="1:32" ht="14.25" thickBot="1">
      <c r="G21" s="7"/>
      <c r="H21" s="74" t="s">
        <v>6</v>
      </c>
      <c r="I21" s="75">
        <f>IF(OR($C$3="",$C$5=""),"",AC19)</f>
        <v>164032</v>
      </c>
      <c r="J21" s="75">
        <f t="shared" ref="J21:L21" si="25">IF(OR($C$3="",$C$5=""),"",AD19)</f>
        <v>27736</v>
      </c>
      <c r="K21" s="75">
        <f t="shared" si="25"/>
        <v>4048</v>
      </c>
      <c r="L21" s="76">
        <f t="shared" si="25"/>
        <v>195816</v>
      </c>
      <c r="M21" s="7"/>
      <c r="N21" s="7"/>
      <c r="AC21" s="63">
        <f>COUNTIF(AC8:AC18,"&gt;0")</f>
        <v>7</v>
      </c>
      <c r="AD21" s="63">
        <f>COUNTIF(AD8:AD18,"&gt;0")</f>
        <v>7</v>
      </c>
      <c r="AE21" s="63">
        <f>COUNTIF(AE8:AE18,"&gt;0")</f>
        <v>7</v>
      </c>
    </row>
    <row r="22" spans="1:32">
      <c r="G22" s="7"/>
      <c r="H22" s="36" t="s">
        <v>59</v>
      </c>
      <c r="I22" s="7"/>
      <c r="J22" s="8"/>
      <c r="K22" s="7"/>
      <c r="L22" s="7"/>
      <c r="M22" s="7"/>
      <c r="N22" s="7"/>
      <c r="AC22" s="63">
        <f>COUNTIF(AC7:AC18,"&gt;0")</f>
        <v>8</v>
      </c>
      <c r="AD22" s="63">
        <f>COUNTIF(AD7:AD18,"&gt;0")</f>
        <v>8</v>
      </c>
      <c r="AE22">
        <f>COUNTIF(AE7:AE18,"&gt;0")</f>
        <v>8</v>
      </c>
    </row>
    <row r="23" spans="1:32">
      <c r="G23" s="7"/>
      <c r="H23" s="36" t="s">
        <v>60</v>
      </c>
      <c r="I23" s="7"/>
      <c r="J23" s="7"/>
      <c r="K23" s="7"/>
      <c r="L23" s="7"/>
      <c r="M23" s="7"/>
      <c r="N23" s="7"/>
      <c r="X23" t="s">
        <v>65</v>
      </c>
    </row>
    <row r="24" spans="1:32">
      <c r="G24" s="7"/>
      <c r="H24" s="36"/>
      <c r="I24" s="7"/>
      <c r="J24" s="7"/>
      <c r="K24" s="7"/>
      <c r="L24" s="7"/>
      <c r="M24" s="7"/>
      <c r="N24" s="7"/>
      <c r="X24" t="s">
        <v>62</v>
      </c>
      <c r="AC24" s="3">
        <f>IF(AC20="","",AC20)</f>
        <v>20504</v>
      </c>
      <c r="AD24" s="3">
        <f t="shared" ref="AD24:AE24" si="26">IF(AD20="","",AD20)</f>
        <v>3467</v>
      </c>
      <c r="AE24" s="3">
        <f t="shared" si="26"/>
        <v>506</v>
      </c>
      <c r="AF24" s="3">
        <f>SUM(AC24:AE24)</f>
        <v>24477</v>
      </c>
    </row>
    <row r="25" spans="1:32">
      <c r="G25" s="7"/>
      <c r="H25" s="18" t="s">
        <v>80</v>
      </c>
      <c r="I25" s="7"/>
      <c r="J25" s="7"/>
      <c r="K25" s="37"/>
      <c r="L25" s="50"/>
      <c r="M25" s="7"/>
      <c r="N25" s="7"/>
      <c r="X25" t="s">
        <v>63</v>
      </c>
      <c r="AC25" s="63">
        <f>IF($AC24="","",ROUND(AC24*INDEX(掛金率等!$I:$I,MATCH(AC21,掛金率等!$H:$H,0)),0))</f>
        <v>141667</v>
      </c>
      <c r="AD25" s="63">
        <f>IF($AC24="","",ROUND(AD24*INDEX(掛金率等!$I:$I,MATCH(AD21,掛金率等!$H:$H,0)),0))</f>
        <v>23954</v>
      </c>
      <c r="AE25" s="63">
        <f>IF($AC24="","",ROUND(AE24*INDEX(掛金率等!$I:$I,MATCH(AE21,掛金率等!$H:$H,0)),0))</f>
        <v>3496</v>
      </c>
      <c r="AF25" s="3">
        <f>SUM(AC25:AE25)</f>
        <v>169117</v>
      </c>
    </row>
    <row r="26" spans="1:32">
      <c r="G26" s="7"/>
      <c r="H26" s="80"/>
      <c r="I26" s="68" t="s">
        <v>12</v>
      </c>
      <c r="J26" s="68" t="s">
        <v>9</v>
      </c>
      <c r="K26" s="70" t="s">
        <v>54</v>
      </c>
      <c r="L26" s="68" t="s">
        <v>6</v>
      </c>
      <c r="M26" s="7"/>
      <c r="N26" s="7"/>
    </row>
    <row r="27" spans="1:32">
      <c r="G27" s="7"/>
      <c r="H27" s="68" t="s">
        <v>13</v>
      </c>
      <c r="I27" s="17">
        <f>IF(OR($C$3="",$C$5="",AC24=""),"",AC24)</f>
        <v>20504</v>
      </c>
      <c r="J27" s="17">
        <f t="shared" ref="J27:K27" si="27">IF(OR($C$3="",$C$5="",AD24=""),"",AD24)</f>
        <v>3467</v>
      </c>
      <c r="K27" s="17">
        <f t="shared" si="27"/>
        <v>506</v>
      </c>
      <c r="L27" s="17">
        <f>IF(OR($C$3="",$C$5="",AF24=""),"",AF24)</f>
        <v>24477</v>
      </c>
      <c r="M27" s="7"/>
      <c r="N27" s="7"/>
    </row>
    <row r="28" spans="1:32" ht="14.25" thickBot="1">
      <c r="G28" s="7"/>
      <c r="H28" s="81" t="s">
        <v>41</v>
      </c>
      <c r="I28" s="82">
        <f>IF(OR($C$3="",$C$5="",AC25=""),"",AC25)</f>
        <v>141667</v>
      </c>
      <c r="J28" s="82">
        <f t="shared" ref="J28:K28" si="28">IF(OR($C$3="",$C$5="",AD25=""),"",AD25)</f>
        <v>23954</v>
      </c>
      <c r="K28" s="82">
        <f t="shared" si="28"/>
        <v>3496</v>
      </c>
      <c r="L28" s="83">
        <f>IF(OR($C$3="",$C$5="",AF25=""),"",AF25)</f>
        <v>169117</v>
      </c>
      <c r="M28" s="7"/>
      <c r="N28" s="7"/>
      <c r="AC28" s="63"/>
      <c r="AD28" s="63"/>
      <c r="AE28" s="63"/>
      <c r="AF28" s="3"/>
    </row>
    <row r="29" spans="1:32" ht="14.25" thickBot="1">
      <c r="G29" s="7"/>
      <c r="H29" s="84" t="s">
        <v>5</v>
      </c>
      <c r="I29" s="85">
        <f>IF(OR($C$3="",$C$5=""),"",SUM(I27:I28))</f>
        <v>162171</v>
      </c>
      <c r="J29" s="85">
        <f>IF(OR($C$3="",$C$5=""),"",SUM(J27:J28))</f>
        <v>27421</v>
      </c>
      <c r="K29" s="85">
        <f>IF(OR($C$3="",$C$5=""),"",SUM(K27:K28))</f>
        <v>4002</v>
      </c>
      <c r="L29" s="86">
        <f>IF(OR($C$3="",$C$5=""),"",SUM(L27:L28))</f>
        <v>193594</v>
      </c>
      <c r="M29" s="7"/>
      <c r="N29" s="7"/>
    </row>
    <row r="30" spans="1:32">
      <c r="G30" s="7"/>
      <c r="H30" s="87" t="s">
        <v>69</v>
      </c>
      <c r="I30" s="88">
        <f t="shared" ref="I30:J30" si="29">IF(OR($C$3="",$C$5="",AC21="",AC21=0),"",AC21)</f>
        <v>7</v>
      </c>
      <c r="J30" s="88">
        <f t="shared" si="29"/>
        <v>7</v>
      </c>
      <c r="K30" s="88">
        <f>IF(OR($C$3="",$C$5="",AE21="",AE21=0),"",AE21)</f>
        <v>7</v>
      </c>
      <c r="L30" s="89" t="str">
        <f>IF(OR($C$3="",$C$5="",AF21=""),"",AF21)</f>
        <v/>
      </c>
      <c r="M30" s="7"/>
      <c r="N30" s="7"/>
    </row>
    <row r="31" spans="1:32">
      <c r="G31" s="7"/>
      <c r="H31" s="36" t="s">
        <v>68</v>
      </c>
      <c r="I31" s="7"/>
      <c r="J31" s="7"/>
      <c r="K31" s="7"/>
      <c r="L31" s="7"/>
      <c r="M31" s="7"/>
      <c r="N31" s="7"/>
    </row>
    <row r="32" spans="1:32">
      <c r="G32" s="7"/>
      <c r="H32" s="36" t="s">
        <v>64</v>
      </c>
      <c r="I32" s="7"/>
      <c r="J32" s="7"/>
      <c r="K32" s="7"/>
      <c r="L32" s="7"/>
      <c r="M32" s="7"/>
      <c r="N32" s="7"/>
    </row>
    <row r="33" spans="7:14">
      <c r="G33" s="7"/>
      <c r="H33" s="36"/>
      <c r="I33" s="7"/>
      <c r="J33" s="7"/>
      <c r="K33" s="7"/>
      <c r="L33" s="7"/>
      <c r="M33" s="7"/>
      <c r="N33" s="7"/>
    </row>
  </sheetData>
  <sheetProtection algorithmName="SHA-512" hashValue="cV4ni11SMkisU8mXaIs27cQfflXivrXVPzPsnG6+1i8mx7aU+3kRq/Bn/ceOLvxjTrgi5zq+IPEECx2HxcVJuA==" saltValue="9PAMiVt0zOPQHoVgyhCzxw==" spinCount="100000" sheet="1" selectLockedCells="1"/>
  <protectedRanges>
    <protectedRange sqref="C5 C3" name="範囲1"/>
  </protectedRanges>
  <phoneticPr fontId="2"/>
  <pageMargins left="0.70866141732283472" right="0.70866141732283472" top="0.74803149606299213" bottom="0.74803149606299213" header="0.31496062992125984" footer="0.31496062992125984"/>
  <pageSetup paperSize="9" scale="95" orientation="landscape" r:id="rId1"/>
  <colBreaks count="1" manualBreakCount="1">
    <brk id="1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6106-A132-48A3-BECA-0BE80AB8D689}">
  <dimension ref="A1:AF31"/>
  <sheetViews>
    <sheetView showGridLines="0" view="pageBreakPreview" zoomScale="150" zoomScaleNormal="150" zoomScaleSheetLayoutView="150" workbookViewId="0">
      <selection activeCell="C3" sqref="C3"/>
    </sheetView>
  </sheetViews>
  <sheetFormatPr defaultRowHeight="13.5"/>
  <cols>
    <col min="1" max="1" width="1.625" customWidth="1"/>
    <col min="2" max="2" width="21" customWidth="1"/>
    <col min="3" max="3" width="18.375" bestFit="1" customWidth="1"/>
    <col min="4" max="4" width="6.75" customWidth="1"/>
    <col min="5" max="7" width="2.75" customWidth="1"/>
    <col min="8" max="8" width="12.625" customWidth="1"/>
    <col min="9" max="12" width="15.75" customWidth="1"/>
    <col min="13" max="13" width="4.875" customWidth="1"/>
    <col min="14" max="14" width="2.75" customWidth="1"/>
    <col min="15" max="15" width="9.5" bestFit="1" customWidth="1"/>
    <col min="16" max="17" width="9.5" customWidth="1"/>
    <col min="18" max="18" width="5.5" bestFit="1" customWidth="1"/>
    <col min="19" max="19" width="29.375" bestFit="1" customWidth="1"/>
    <col min="20" max="20" width="16.125" bestFit="1" customWidth="1"/>
    <col min="21" max="21" width="10.5" bestFit="1" customWidth="1"/>
    <col min="22" max="22" width="2.5" bestFit="1" customWidth="1"/>
    <col min="23" max="23" width="3.5" bestFit="1" customWidth="1"/>
    <col min="24" max="24" width="9.5" bestFit="1" customWidth="1"/>
    <col min="25" max="25" width="5.5" bestFit="1" customWidth="1"/>
    <col min="26" max="26" width="10.5" bestFit="1" customWidth="1"/>
    <col min="28" max="28" width="13.875" bestFit="1" customWidth="1"/>
    <col min="29" max="31" width="10.75" customWidth="1"/>
  </cols>
  <sheetData>
    <row r="1" spans="1:32" ht="14.25" thickBot="1">
      <c r="A1" s="9"/>
      <c r="B1" s="9"/>
      <c r="C1" s="9"/>
      <c r="D1" s="9"/>
      <c r="E1" s="9"/>
      <c r="G1" s="7"/>
      <c r="H1" s="37" t="str">
        <f>IF(I1="","","対象年度＝")</f>
        <v>対象年度＝</v>
      </c>
      <c r="I1" s="38" t="str">
        <f>IF($C$3="","",INDEX(掛金率等!$B:$B,MATCH(Q1,掛金率等!$A:$A,0)))</f>
        <v>令和9</v>
      </c>
      <c r="J1" s="62" t="str">
        <f>IF(A3="","",W3)</f>
        <v/>
      </c>
      <c r="K1" s="97" t="str">
        <f>IF(B3="","",X3)</f>
        <v>対象年度</v>
      </c>
      <c r="L1" s="7"/>
      <c r="M1" s="62"/>
      <c r="N1" s="7"/>
      <c r="Q1" s="101">
        <f>IF(C3="","",Y3)</f>
        <v>2027</v>
      </c>
    </row>
    <row r="2" spans="1:32" ht="27.75" thickBot="1">
      <c r="A2" s="9"/>
      <c r="B2" s="9"/>
      <c r="C2" s="9"/>
      <c r="D2" s="10"/>
      <c r="E2" s="9"/>
      <c r="G2" s="7"/>
      <c r="H2" s="12" t="s">
        <v>33</v>
      </c>
      <c r="I2" s="13" t="s">
        <v>19</v>
      </c>
      <c r="J2" s="13" t="s">
        <v>20</v>
      </c>
      <c r="K2" s="79" t="s">
        <v>57</v>
      </c>
      <c r="L2" s="7"/>
      <c r="M2" s="62"/>
      <c r="N2" s="7"/>
      <c r="Q2" s="101">
        <f>IF(C4="","",Y4)</f>
        <v>0</v>
      </c>
      <c r="S2" t="s">
        <v>2</v>
      </c>
      <c r="T2" s="2">
        <f>IF($C$3="","",$C$3)</f>
        <v>46203</v>
      </c>
      <c r="U2">
        <f>IF(T2="","",YEAR(T2))</f>
        <v>2026</v>
      </c>
      <c r="V2">
        <f>IF(T2="","",MONTH(T2))</f>
        <v>6</v>
      </c>
      <c r="W2" t="s">
        <v>7</v>
      </c>
      <c r="X2" t="s">
        <v>8</v>
      </c>
      <c r="Y2">
        <f>IF($C$3="","",IF(V2&lt;4,U2-1,U2))</f>
        <v>2026</v>
      </c>
      <c r="Z2" t="s">
        <v>7</v>
      </c>
      <c r="AA2" t="s">
        <v>77</v>
      </c>
      <c r="AB2">
        <f>Y2+1</f>
        <v>2027</v>
      </c>
    </row>
    <row r="3" spans="1:32" ht="14.25" thickBot="1">
      <c r="A3" s="9"/>
      <c r="B3" s="33" t="s">
        <v>2</v>
      </c>
      <c r="C3" s="56">
        <v>46203</v>
      </c>
      <c r="D3" s="11"/>
      <c r="E3" s="9"/>
      <c r="G3" s="7"/>
      <c r="H3" s="14">
        <f>IF(OR($C$3="",$C$5=""),"",IF(T4&lt;T5,T4,T5))</f>
        <v>410000</v>
      </c>
      <c r="I3" s="15">
        <f>IF(OR($C$3="",$C$5=""),"",IF(INDEX(掛金率等!D:D,MATCH($Y$3,掛金率等!$A:$A,0))=0,INDEX(掛金率等!D:D,MATCH($Y$2,掛金率等!$A:$A,0)),INDEX(掛金率等!D:D,MATCH($Y$3,掛金率等!$A:$A,0))))</f>
        <v>93.2</v>
      </c>
      <c r="J3" s="15">
        <f>IF(OR($C$3="",$C$5=""),"",IF(INDEX(掛金率等!E:E,MATCH($Y$3,掛金率等!$A:$A,0))=0,INDEX(掛金率等!E:E,MATCH($Y$2,掛金率等!$A:$A,0)),INDEX(掛金率等!E:E,MATCH($Y$3,掛金率等!$A:$A,0))))</f>
        <v>15.76</v>
      </c>
      <c r="K3" s="16">
        <f>IF(OR($C$3="",$C$5=""),"",IF(INDEX(掛金率等!F:F,MATCH($Y$3,掛金率等!$A:$A,0))=0,INDEX(掛金率等!F:F,MATCH($Y$2,掛金率等!$A:$A,0)),(INDEX(掛金率等!F:F,MATCH($Y$3,掛金率等!$A:$A,0)))))</f>
        <v>2.2999999999999998</v>
      </c>
      <c r="L3" s="7"/>
      <c r="M3" s="62"/>
      <c r="N3" s="7"/>
      <c r="Q3" s="101">
        <f>IF(C5="","",Y5)</f>
        <v>0</v>
      </c>
      <c r="S3" t="s">
        <v>10</v>
      </c>
      <c r="T3" s="2">
        <f>IF($C$3="","",$T$2+1)</f>
        <v>46204</v>
      </c>
      <c r="U3">
        <f>IF(T3="","",YEAR(T3))</f>
        <v>2026</v>
      </c>
      <c r="V3">
        <f>IF(T3="","",MONTH(T3))</f>
        <v>7</v>
      </c>
      <c r="W3" t="s">
        <v>7</v>
      </c>
      <c r="X3" t="s">
        <v>77</v>
      </c>
      <c r="Y3">
        <f>Y2+1</f>
        <v>2027</v>
      </c>
      <c r="Z3">
        <v>4</v>
      </c>
    </row>
    <row r="4" spans="1:32">
      <c r="A4" s="9"/>
      <c r="B4" s="58" t="s">
        <v>51</v>
      </c>
      <c r="C4" s="59">
        <v>25555</v>
      </c>
      <c r="D4" s="11" t="s">
        <v>85</v>
      </c>
      <c r="E4" s="9"/>
      <c r="G4" s="7"/>
      <c r="H4" s="36" t="s">
        <v>79</v>
      </c>
      <c r="I4" s="35"/>
      <c r="J4" s="35"/>
      <c r="K4" s="35"/>
      <c r="L4" s="97" t="str">
        <f>IF(C6="","",Y6)</f>
        <v/>
      </c>
      <c r="M4" s="62"/>
      <c r="N4" s="7"/>
      <c r="S4" t="s">
        <v>3</v>
      </c>
      <c r="T4" s="3">
        <f>IF($C$5="","",$C$5)</f>
        <v>470000</v>
      </c>
      <c r="U4" s="1"/>
      <c r="V4" s="1"/>
      <c r="X4" s="1"/>
    </row>
    <row r="5" spans="1:32" ht="14.25" thickBot="1">
      <c r="A5" s="9"/>
      <c r="B5" s="34" t="s">
        <v>3</v>
      </c>
      <c r="C5" s="57">
        <v>470000</v>
      </c>
      <c r="D5" s="9"/>
      <c r="E5" s="9"/>
      <c r="G5" s="7"/>
      <c r="H5" s="36" t="s">
        <v>78</v>
      </c>
      <c r="I5" s="35"/>
      <c r="J5" s="35"/>
      <c r="K5" s="35"/>
      <c r="L5" s="62" t="str">
        <f>IF(C7="","",Y7)</f>
        <v/>
      </c>
      <c r="M5" s="62"/>
      <c r="N5" s="7"/>
      <c r="S5" t="s">
        <v>4</v>
      </c>
      <c r="T5" s="4">
        <f>IF(Y2="","",IF(INDEX(掛金率等!C:C,MATCH(Y3,掛金率等!A:A,0))=0,INDEX(掛金率等!C:C,MATCH(Y2,掛金率等!A:A,0)),INDEX(掛金率等!C:C,MATCH(Y3,掛金率等!A:A,0))))</f>
        <v>410000</v>
      </c>
    </row>
    <row r="6" spans="1:32">
      <c r="A6" s="9"/>
      <c r="B6" s="9" t="s">
        <v>21</v>
      </c>
      <c r="C6" s="9"/>
      <c r="D6" s="9"/>
      <c r="E6" s="9"/>
      <c r="G6" s="7"/>
      <c r="H6" s="36" t="str">
        <f>IF(OR($C$3="",$C$5=""),"",IF(INDEX(掛金率等!D:D,MATCH($Y$3,掛金率等!$A:$A,0))=0,"※翌年度の平均標準報酬月額や掛金率が未確定のため、前年の条件で試算しています。",""))</f>
        <v>※翌年度の平均標準報酬月額や掛金率が未確定のため、前年の条件で試算しています。</v>
      </c>
      <c r="I6" s="35"/>
      <c r="J6" s="35"/>
      <c r="K6" s="35"/>
      <c r="L6" s="7"/>
      <c r="M6" s="7"/>
      <c r="N6" s="7"/>
      <c r="S6" s="29" t="s">
        <v>14</v>
      </c>
      <c r="T6" s="30">
        <v>12</v>
      </c>
      <c r="X6" t="s">
        <v>61</v>
      </c>
      <c r="AA6" s="1" t="s">
        <v>53</v>
      </c>
      <c r="AB6" s="1" t="s">
        <v>56</v>
      </c>
      <c r="AC6" s="67" t="s">
        <v>0</v>
      </c>
      <c r="AD6" s="67" t="s">
        <v>1</v>
      </c>
      <c r="AE6" s="67" t="s">
        <v>54</v>
      </c>
      <c r="AF6" s="67" t="s">
        <v>6</v>
      </c>
    </row>
    <row r="7" spans="1:32">
      <c r="A7" s="9"/>
      <c r="B7" s="20" t="s">
        <v>22</v>
      </c>
      <c r="C7" s="19"/>
      <c r="D7" s="21"/>
      <c r="E7" s="9"/>
      <c r="G7" s="7"/>
      <c r="H7" s="36"/>
      <c r="I7" s="35"/>
      <c r="J7" s="35"/>
      <c r="K7" s="35"/>
      <c r="L7" s="7"/>
      <c r="M7" s="7"/>
      <c r="N7" s="7"/>
      <c r="S7" t="s">
        <v>51</v>
      </c>
      <c r="T7" s="60">
        <f>IF(C4="","",C4)</f>
        <v>25555</v>
      </c>
      <c r="U7" s="1"/>
      <c r="X7">
        <f>IF(Y7="","",$Y$3)</f>
        <v>2027</v>
      </c>
      <c r="Y7" s="64">
        <f>IF(Z3="","",Z3)</f>
        <v>4</v>
      </c>
      <c r="Z7" s="61">
        <f>IF(Y7="","",VALUE(X7&amp;"/"&amp;Y7&amp;"/1"))</f>
        <v>46478</v>
      </c>
      <c r="AA7">
        <f>IF(OR($C$3="",$C$5="",$C$4="",Y7=""),"",DATEDIF($T$7,Z7,"Y"))</f>
        <v>57</v>
      </c>
      <c r="AB7" s="63">
        <f>IF(Y7="","",$H$3)</f>
        <v>410000</v>
      </c>
      <c r="AC7" s="63">
        <f>IF(AA7="","",IF(AA7&gt;=75,0,ROUNDDOWN(AB7*$I$3/1000,0)))</f>
        <v>38212</v>
      </c>
      <c r="AD7" s="63">
        <f>IF(AA7="","",IF(OR(AA7&lt;40,AA7&gt;=65),0,ROUNDDOWN(AB7*$J$3/1000,0)))</f>
        <v>6461</v>
      </c>
      <c r="AE7" s="63">
        <f>IF(AA7="","",IF(AA7&gt;=75,0,ROUNDDOWN(AB7*$K$3/1000,0)))</f>
        <v>943</v>
      </c>
      <c r="AF7" s="3">
        <f>SUM(AC7:AE7)</f>
        <v>45616</v>
      </c>
    </row>
    <row r="8" spans="1:32">
      <c r="A8" s="9"/>
      <c r="B8" s="22" t="s">
        <v>37</v>
      </c>
      <c r="C8" s="23"/>
      <c r="D8" s="24"/>
      <c r="E8" s="9"/>
      <c r="G8" s="7"/>
      <c r="H8" s="18" t="s">
        <v>18</v>
      </c>
      <c r="I8" s="7"/>
      <c r="J8" s="7"/>
      <c r="K8" s="7"/>
      <c r="L8" s="7"/>
      <c r="M8" s="7"/>
      <c r="N8" s="7"/>
      <c r="X8">
        <f>IF(Y8="","",IF(Y7=12,X7+1,X7))</f>
        <v>2027</v>
      </c>
      <c r="Y8" s="65">
        <f>IF(Y7="","",IF(Y7=3,"",IF(Y7=12,1,Y7+1)))</f>
        <v>5</v>
      </c>
      <c r="Z8" s="61">
        <f t="shared" ref="Z8:Z18" si="0">IF(Y8="","",VALUE(X8&amp;"/"&amp;Y8&amp;"/1"))</f>
        <v>46508</v>
      </c>
      <c r="AA8">
        <f t="shared" ref="AA8:AA18" si="1">IF(OR($C$3="",$C$5="",$C$4="",Y8=""),"",DATEDIF($T$7,Z8,"Y"))</f>
        <v>57</v>
      </c>
      <c r="AB8" s="63">
        <f t="shared" ref="AB8:AB18" si="2">IF(Y8="","",$H$3)</f>
        <v>410000</v>
      </c>
      <c r="AC8" s="63">
        <f t="shared" ref="AC8:AC18" si="3">IF(AA8="","",IF(AA8&gt;=75,0,ROUNDDOWN(AB8*$I$3/1000,0)))</f>
        <v>38212</v>
      </c>
      <c r="AD8" s="63">
        <f t="shared" ref="AD8:AD18" si="4">IF(AA8="","",IF(OR(AA8&lt;40,AA8&gt;=65),0,ROUNDDOWN(AB8*$J$3/1000,0)))</f>
        <v>6461</v>
      </c>
      <c r="AE8" s="63">
        <f t="shared" ref="AE8:AE18" si="5">IF(AA8="","",IF(AA8&gt;=75,0,ROUNDDOWN(AB8*$K$3/1000,0)))</f>
        <v>943</v>
      </c>
      <c r="AF8" s="3">
        <f t="shared" ref="AF8:AF18" si="6">SUM(AC8:AE8)</f>
        <v>45616</v>
      </c>
    </row>
    <row r="9" spans="1:32">
      <c r="A9" s="9"/>
      <c r="B9" s="25" t="s">
        <v>36</v>
      </c>
      <c r="C9" s="26"/>
      <c r="D9" s="27"/>
      <c r="E9" s="9"/>
      <c r="G9" s="7"/>
      <c r="H9" s="68" t="s">
        <v>58</v>
      </c>
      <c r="I9" s="68" t="s">
        <v>12</v>
      </c>
      <c r="J9" s="68" t="s">
        <v>9</v>
      </c>
      <c r="K9" s="70" t="s">
        <v>54</v>
      </c>
      <c r="L9" s="68" t="s">
        <v>6</v>
      </c>
      <c r="M9" s="7"/>
      <c r="N9" s="7"/>
      <c r="T9" s="1"/>
      <c r="X9">
        <f t="shared" ref="X9:X18" si="7">IF(Y9="","",IF(Y8=12,X8+1,X8))</f>
        <v>2027</v>
      </c>
      <c r="Y9" s="65">
        <f t="shared" ref="Y9:Y18" si="8">IF(Y8="","",IF(Y8=3,"",IF(Y8=12,1,Y8+1)))</f>
        <v>6</v>
      </c>
      <c r="Z9" s="61">
        <f t="shared" si="0"/>
        <v>46539</v>
      </c>
      <c r="AA9">
        <f t="shared" si="1"/>
        <v>57</v>
      </c>
      <c r="AB9" s="63">
        <f t="shared" si="2"/>
        <v>410000</v>
      </c>
      <c r="AC9" s="63">
        <f t="shared" si="3"/>
        <v>38212</v>
      </c>
      <c r="AD9" s="63">
        <f t="shared" si="4"/>
        <v>6461</v>
      </c>
      <c r="AE9" s="63">
        <f t="shared" si="5"/>
        <v>943</v>
      </c>
      <c r="AF9" s="3">
        <f t="shared" si="6"/>
        <v>45616</v>
      </c>
    </row>
    <row r="10" spans="1:32">
      <c r="A10" s="9"/>
      <c r="B10" s="9"/>
      <c r="C10" s="9"/>
      <c r="D10" s="9"/>
      <c r="E10" s="9"/>
      <c r="G10" s="7"/>
      <c r="H10" s="69">
        <f t="shared" ref="H10:H21" si="9">Y7</f>
        <v>4</v>
      </c>
      <c r="I10" s="71">
        <f>IF(AC7="","",AC7)</f>
        <v>38212</v>
      </c>
      <c r="J10" s="71">
        <f t="shared" ref="J10:K10" si="10">IF(AD7="","",AD7)</f>
        <v>6461</v>
      </c>
      <c r="K10" s="71">
        <f t="shared" si="10"/>
        <v>943</v>
      </c>
      <c r="L10" s="71">
        <f>IF(OR($C$3="",$C$5="",AF7=""),"",AF7)</f>
        <v>45616</v>
      </c>
      <c r="M10" s="7"/>
      <c r="N10" s="7"/>
      <c r="T10" s="1"/>
      <c r="X10">
        <f t="shared" si="7"/>
        <v>2027</v>
      </c>
      <c r="Y10" s="65">
        <f t="shared" si="8"/>
        <v>7</v>
      </c>
      <c r="Z10" s="61">
        <f t="shared" si="0"/>
        <v>46569</v>
      </c>
      <c r="AA10">
        <f t="shared" si="1"/>
        <v>57</v>
      </c>
      <c r="AB10" s="63">
        <f t="shared" si="2"/>
        <v>410000</v>
      </c>
      <c r="AC10" s="63">
        <f t="shared" si="3"/>
        <v>38212</v>
      </c>
      <c r="AD10" s="63">
        <f t="shared" si="4"/>
        <v>6461</v>
      </c>
      <c r="AE10" s="63">
        <f t="shared" si="5"/>
        <v>943</v>
      </c>
      <c r="AF10" s="3">
        <f t="shared" si="6"/>
        <v>45616</v>
      </c>
    </row>
    <row r="11" spans="1:32">
      <c r="A11" s="9"/>
      <c r="B11" s="9"/>
      <c r="C11" s="9"/>
      <c r="D11" s="9"/>
      <c r="E11" s="9"/>
      <c r="G11" s="7"/>
      <c r="H11" s="69">
        <f t="shared" si="9"/>
        <v>5</v>
      </c>
      <c r="I11" s="71">
        <f t="shared" ref="I11:K21" si="11">IF(AC8="","",AC8)</f>
        <v>38212</v>
      </c>
      <c r="J11" s="71">
        <f t="shared" si="11"/>
        <v>6461</v>
      </c>
      <c r="K11" s="71">
        <f t="shared" si="11"/>
        <v>943</v>
      </c>
      <c r="L11" s="71">
        <f t="shared" ref="L11:L21" si="12">IF(OR($C$3="",$C$5="",AF8=""),"",AF8)</f>
        <v>45616</v>
      </c>
      <c r="M11" s="7"/>
      <c r="N11" s="7"/>
      <c r="S11" s="1"/>
      <c r="T11" s="60"/>
      <c r="U11" s="61"/>
      <c r="X11">
        <f t="shared" si="7"/>
        <v>2027</v>
      </c>
      <c r="Y11" s="65">
        <f t="shared" si="8"/>
        <v>8</v>
      </c>
      <c r="Z11" s="61">
        <f t="shared" si="0"/>
        <v>46600</v>
      </c>
      <c r="AA11">
        <f t="shared" si="1"/>
        <v>57</v>
      </c>
      <c r="AB11" s="63">
        <f t="shared" si="2"/>
        <v>410000</v>
      </c>
      <c r="AC11" s="63">
        <f t="shared" si="3"/>
        <v>38212</v>
      </c>
      <c r="AD11" s="63">
        <f t="shared" si="4"/>
        <v>6461</v>
      </c>
      <c r="AE11" s="63">
        <f t="shared" si="5"/>
        <v>943</v>
      </c>
      <c r="AF11" s="3">
        <f t="shared" si="6"/>
        <v>45616</v>
      </c>
    </row>
    <row r="12" spans="1:32">
      <c r="A12" s="9"/>
      <c r="B12" s="98" t="s">
        <v>83</v>
      </c>
      <c r="C12" s="90"/>
      <c r="D12" s="91"/>
      <c r="E12" s="9"/>
      <c r="G12" s="7"/>
      <c r="H12" s="69">
        <f t="shared" si="9"/>
        <v>6</v>
      </c>
      <c r="I12" s="71">
        <f t="shared" si="11"/>
        <v>38212</v>
      </c>
      <c r="J12" s="71">
        <f t="shared" si="11"/>
        <v>6461</v>
      </c>
      <c r="K12" s="71">
        <f t="shared" si="11"/>
        <v>943</v>
      </c>
      <c r="L12" s="71">
        <f t="shared" si="12"/>
        <v>45616</v>
      </c>
      <c r="M12" s="7"/>
      <c r="N12" s="7"/>
      <c r="S12" s="1"/>
      <c r="T12" s="60"/>
      <c r="U12" s="61"/>
      <c r="X12">
        <f t="shared" si="7"/>
        <v>2027</v>
      </c>
      <c r="Y12" s="65">
        <f t="shared" si="8"/>
        <v>9</v>
      </c>
      <c r="Z12" s="61">
        <f t="shared" si="0"/>
        <v>46631</v>
      </c>
      <c r="AA12">
        <f t="shared" si="1"/>
        <v>57</v>
      </c>
      <c r="AB12" s="63">
        <f t="shared" si="2"/>
        <v>410000</v>
      </c>
      <c r="AC12" s="63">
        <f t="shared" si="3"/>
        <v>38212</v>
      </c>
      <c r="AD12" s="63">
        <f t="shared" si="4"/>
        <v>6461</v>
      </c>
      <c r="AE12" s="63">
        <f t="shared" si="5"/>
        <v>943</v>
      </c>
      <c r="AF12" s="3">
        <f t="shared" si="6"/>
        <v>45616</v>
      </c>
    </row>
    <row r="13" spans="1:32">
      <c r="A13" s="9"/>
      <c r="B13" s="99" t="s">
        <v>84</v>
      </c>
      <c r="C13" s="92"/>
      <c r="D13" s="93"/>
      <c r="E13" s="9"/>
      <c r="G13" s="7"/>
      <c r="H13" s="69">
        <f t="shared" si="9"/>
        <v>7</v>
      </c>
      <c r="I13" s="71">
        <f t="shared" si="11"/>
        <v>38212</v>
      </c>
      <c r="J13" s="71">
        <f t="shared" si="11"/>
        <v>6461</v>
      </c>
      <c r="K13" s="71">
        <f t="shared" si="11"/>
        <v>943</v>
      </c>
      <c r="L13" s="71">
        <f t="shared" si="12"/>
        <v>45616</v>
      </c>
      <c r="M13" s="7"/>
      <c r="N13" s="7"/>
      <c r="X13">
        <f t="shared" si="7"/>
        <v>2027</v>
      </c>
      <c r="Y13" s="65">
        <f t="shared" si="8"/>
        <v>10</v>
      </c>
      <c r="Z13" s="61">
        <f t="shared" si="0"/>
        <v>46661</v>
      </c>
      <c r="AA13">
        <f t="shared" si="1"/>
        <v>57</v>
      </c>
      <c r="AB13" s="63">
        <f t="shared" si="2"/>
        <v>410000</v>
      </c>
      <c r="AC13" s="63">
        <f t="shared" si="3"/>
        <v>38212</v>
      </c>
      <c r="AD13" s="63">
        <f t="shared" si="4"/>
        <v>6461</v>
      </c>
      <c r="AE13" s="63">
        <f t="shared" si="5"/>
        <v>943</v>
      </c>
      <c r="AF13" s="3">
        <f t="shared" si="6"/>
        <v>45616</v>
      </c>
    </row>
    <row r="14" spans="1:32">
      <c r="A14" s="9"/>
      <c r="B14" s="99" t="s">
        <v>71</v>
      </c>
      <c r="C14" s="94"/>
      <c r="D14" s="93"/>
      <c r="E14" s="9"/>
      <c r="G14" s="7"/>
      <c r="H14" s="69">
        <f t="shared" si="9"/>
        <v>8</v>
      </c>
      <c r="I14" s="71">
        <f t="shared" si="11"/>
        <v>38212</v>
      </c>
      <c r="J14" s="71">
        <f t="shared" si="11"/>
        <v>6461</v>
      </c>
      <c r="K14" s="71">
        <f t="shared" si="11"/>
        <v>943</v>
      </c>
      <c r="L14" s="71">
        <f t="shared" si="12"/>
        <v>45616</v>
      </c>
      <c r="M14" s="7"/>
      <c r="N14" s="7"/>
      <c r="S14" s="1"/>
      <c r="X14">
        <f t="shared" si="7"/>
        <v>2027</v>
      </c>
      <c r="Y14" s="65">
        <f t="shared" si="8"/>
        <v>11</v>
      </c>
      <c r="Z14" s="61">
        <f t="shared" si="0"/>
        <v>46692</v>
      </c>
      <c r="AA14">
        <f t="shared" si="1"/>
        <v>57</v>
      </c>
      <c r="AB14" s="63">
        <f t="shared" si="2"/>
        <v>410000</v>
      </c>
      <c r="AC14" s="63">
        <f t="shared" si="3"/>
        <v>38212</v>
      </c>
      <c r="AD14" s="63">
        <f t="shared" si="4"/>
        <v>6461</v>
      </c>
      <c r="AE14" s="63">
        <f t="shared" si="5"/>
        <v>943</v>
      </c>
      <c r="AF14" s="3">
        <f t="shared" si="6"/>
        <v>45616</v>
      </c>
    </row>
    <row r="15" spans="1:32">
      <c r="A15" s="9"/>
      <c r="B15" s="99" t="s">
        <v>75</v>
      </c>
      <c r="C15" s="94"/>
      <c r="D15" s="93"/>
      <c r="E15" s="9"/>
      <c r="G15" s="7"/>
      <c r="H15" s="69">
        <f t="shared" si="9"/>
        <v>9</v>
      </c>
      <c r="I15" s="71">
        <f t="shared" si="11"/>
        <v>38212</v>
      </c>
      <c r="J15" s="71">
        <f t="shared" si="11"/>
        <v>6461</v>
      </c>
      <c r="K15" s="71">
        <f t="shared" si="11"/>
        <v>943</v>
      </c>
      <c r="L15" s="71">
        <f t="shared" si="12"/>
        <v>45616</v>
      </c>
      <c r="M15" s="7"/>
      <c r="N15" s="7"/>
      <c r="S15" s="1"/>
      <c r="X15">
        <f t="shared" si="7"/>
        <v>2027</v>
      </c>
      <c r="Y15" s="65">
        <f t="shared" si="8"/>
        <v>12</v>
      </c>
      <c r="Z15" s="61">
        <f t="shared" si="0"/>
        <v>46722</v>
      </c>
      <c r="AA15">
        <f t="shared" si="1"/>
        <v>57</v>
      </c>
      <c r="AB15" s="63">
        <f t="shared" si="2"/>
        <v>410000</v>
      </c>
      <c r="AC15" s="63">
        <f t="shared" si="3"/>
        <v>38212</v>
      </c>
      <c r="AD15" s="63">
        <f t="shared" si="4"/>
        <v>6461</v>
      </c>
      <c r="AE15" s="63">
        <f t="shared" si="5"/>
        <v>943</v>
      </c>
      <c r="AF15" s="3">
        <f t="shared" si="6"/>
        <v>45616</v>
      </c>
    </row>
    <row r="16" spans="1:32">
      <c r="A16" s="9"/>
      <c r="B16" s="99" t="s">
        <v>76</v>
      </c>
      <c r="C16" s="94"/>
      <c r="D16" s="93"/>
      <c r="E16" s="9"/>
      <c r="G16" s="7"/>
      <c r="H16" s="69">
        <f t="shared" si="9"/>
        <v>10</v>
      </c>
      <c r="I16" s="71">
        <f t="shared" si="11"/>
        <v>38212</v>
      </c>
      <c r="J16" s="71">
        <f t="shared" si="11"/>
        <v>6461</v>
      </c>
      <c r="K16" s="71">
        <f t="shared" si="11"/>
        <v>943</v>
      </c>
      <c r="L16" s="71">
        <f t="shared" si="12"/>
        <v>45616</v>
      </c>
      <c r="M16" s="7"/>
      <c r="N16" s="7"/>
      <c r="X16">
        <f t="shared" si="7"/>
        <v>2028</v>
      </c>
      <c r="Y16" s="65">
        <f t="shared" si="8"/>
        <v>1</v>
      </c>
      <c r="Z16" s="61">
        <f t="shared" si="0"/>
        <v>46753</v>
      </c>
      <c r="AA16">
        <f t="shared" si="1"/>
        <v>58</v>
      </c>
      <c r="AB16" s="63">
        <f t="shared" si="2"/>
        <v>410000</v>
      </c>
      <c r="AC16" s="63">
        <f t="shared" si="3"/>
        <v>38212</v>
      </c>
      <c r="AD16" s="63">
        <f t="shared" si="4"/>
        <v>6461</v>
      </c>
      <c r="AE16" s="63">
        <f t="shared" si="5"/>
        <v>943</v>
      </c>
      <c r="AF16" s="3">
        <f t="shared" si="6"/>
        <v>45616</v>
      </c>
    </row>
    <row r="17" spans="1:32">
      <c r="A17" s="9"/>
      <c r="B17" s="100" t="s">
        <v>73</v>
      </c>
      <c r="C17" s="95"/>
      <c r="D17" s="96"/>
      <c r="E17" s="9"/>
      <c r="G17" s="7"/>
      <c r="H17" s="69">
        <f t="shared" si="9"/>
        <v>11</v>
      </c>
      <c r="I17" s="71">
        <f t="shared" si="11"/>
        <v>38212</v>
      </c>
      <c r="J17" s="71">
        <f t="shared" si="11"/>
        <v>6461</v>
      </c>
      <c r="K17" s="71">
        <f t="shared" si="11"/>
        <v>943</v>
      </c>
      <c r="L17" s="71">
        <f t="shared" si="12"/>
        <v>45616</v>
      </c>
      <c r="M17" s="7"/>
      <c r="N17" s="7"/>
      <c r="X17">
        <f t="shared" si="7"/>
        <v>2028</v>
      </c>
      <c r="Y17" s="65">
        <f t="shared" si="8"/>
        <v>2</v>
      </c>
      <c r="Z17" s="61">
        <f t="shared" si="0"/>
        <v>46784</v>
      </c>
      <c r="AA17">
        <f t="shared" si="1"/>
        <v>58</v>
      </c>
      <c r="AB17" s="63">
        <f t="shared" si="2"/>
        <v>410000</v>
      </c>
      <c r="AC17" s="63">
        <f t="shared" si="3"/>
        <v>38212</v>
      </c>
      <c r="AD17" s="63">
        <f t="shared" si="4"/>
        <v>6461</v>
      </c>
      <c r="AE17" s="63">
        <f t="shared" si="5"/>
        <v>943</v>
      </c>
      <c r="AF17" s="3">
        <f t="shared" si="6"/>
        <v>45616</v>
      </c>
    </row>
    <row r="18" spans="1:32">
      <c r="A18" s="9"/>
      <c r="B18" s="9"/>
      <c r="C18" s="9"/>
      <c r="D18" s="9"/>
      <c r="E18" s="9"/>
      <c r="G18" s="7"/>
      <c r="H18" s="69">
        <f t="shared" si="9"/>
        <v>12</v>
      </c>
      <c r="I18" s="71">
        <f t="shared" si="11"/>
        <v>38212</v>
      </c>
      <c r="J18" s="71">
        <f t="shared" si="11"/>
        <v>6461</v>
      </c>
      <c r="K18" s="71">
        <f t="shared" si="11"/>
        <v>943</v>
      </c>
      <c r="L18" s="71">
        <f t="shared" si="12"/>
        <v>45616</v>
      </c>
      <c r="M18" s="7"/>
      <c r="N18" s="7"/>
      <c r="X18">
        <f t="shared" si="7"/>
        <v>2028</v>
      </c>
      <c r="Y18" s="65">
        <f t="shared" si="8"/>
        <v>3</v>
      </c>
      <c r="Z18" s="61">
        <f t="shared" si="0"/>
        <v>46813</v>
      </c>
      <c r="AA18">
        <f t="shared" si="1"/>
        <v>58</v>
      </c>
      <c r="AB18" s="63">
        <f t="shared" si="2"/>
        <v>410000</v>
      </c>
      <c r="AC18" s="63">
        <f t="shared" si="3"/>
        <v>38212</v>
      </c>
      <c r="AD18" s="63">
        <f t="shared" si="4"/>
        <v>6461</v>
      </c>
      <c r="AE18" s="63">
        <f t="shared" si="5"/>
        <v>943</v>
      </c>
      <c r="AF18" s="3">
        <f t="shared" si="6"/>
        <v>45616</v>
      </c>
    </row>
    <row r="19" spans="1:32">
      <c r="G19" s="7"/>
      <c r="H19" s="69">
        <f t="shared" si="9"/>
        <v>1</v>
      </c>
      <c r="I19" s="71">
        <f t="shared" si="11"/>
        <v>38212</v>
      </c>
      <c r="J19" s="71">
        <f t="shared" si="11"/>
        <v>6461</v>
      </c>
      <c r="K19" s="71">
        <f t="shared" si="11"/>
        <v>943</v>
      </c>
      <c r="L19" s="71">
        <f t="shared" si="12"/>
        <v>45616</v>
      </c>
      <c r="M19" s="7"/>
      <c r="N19" s="7"/>
      <c r="Y19" s="65"/>
      <c r="AC19" s="3">
        <f>SUM(AC7:AC18)</f>
        <v>458544</v>
      </c>
      <c r="AD19" s="3">
        <f t="shared" ref="AD19:AF19" si="13">SUM(AD7:AD18)</f>
        <v>77532</v>
      </c>
      <c r="AE19" s="3">
        <f t="shared" si="13"/>
        <v>11316</v>
      </c>
      <c r="AF19" s="3">
        <f t="shared" si="13"/>
        <v>547392</v>
      </c>
    </row>
    <row r="20" spans="1:32">
      <c r="G20" s="7"/>
      <c r="H20" s="69">
        <f t="shared" si="9"/>
        <v>2</v>
      </c>
      <c r="I20" s="71">
        <f t="shared" si="11"/>
        <v>38212</v>
      </c>
      <c r="J20" s="71">
        <f t="shared" si="11"/>
        <v>6461</v>
      </c>
      <c r="K20" s="71">
        <f t="shared" si="11"/>
        <v>943</v>
      </c>
      <c r="L20" s="71">
        <f t="shared" si="12"/>
        <v>45616</v>
      </c>
      <c r="M20" s="7"/>
      <c r="N20" s="7"/>
      <c r="Y20" s="65"/>
      <c r="AC20" s="3">
        <f>IF(OR($C$3="",$C$5="",SUM(AC7:AC18)=0),0,AC19/AC22)</f>
        <v>38212</v>
      </c>
      <c r="AD20" s="3">
        <f t="shared" ref="AD20:AE20" si="14">IF(OR($C$3="",$C$5="",SUM(AD7:AD18)=0),0,AD19/AD22)</f>
        <v>6461</v>
      </c>
      <c r="AE20" s="3">
        <f t="shared" si="14"/>
        <v>943</v>
      </c>
    </row>
    <row r="21" spans="1:32" ht="14.25" thickBot="1">
      <c r="G21" s="7"/>
      <c r="H21" s="72">
        <f t="shared" si="9"/>
        <v>3</v>
      </c>
      <c r="I21" s="73">
        <f t="shared" si="11"/>
        <v>38212</v>
      </c>
      <c r="J21" s="73">
        <f t="shared" si="11"/>
        <v>6461</v>
      </c>
      <c r="K21" s="73">
        <f t="shared" si="11"/>
        <v>943</v>
      </c>
      <c r="L21" s="73">
        <f t="shared" si="12"/>
        <v>45616</v>
      </c>
      <c r="M21" s="7"/>
      <c r="N21" s="7"/>
      <c r="AC21" s="63">
        <f>COUNTIF(AC8:AC18,"&gt;0")</f>
        <v>11</v>
      </c>
      <c r="AD21" s="63">
        <f>COUNTIF(AD8:AD18,"&gt;0")</f>
        <v>11</v>
      </c>
      <c r="AE21" s="63">
        <f>COUNTIF(AE8:AE18,"&gt;0")</f>
        <v>11</v>
      </c>
    </row>
    <row r="22" spans="1:32" ht="14.25" thickBot="1">
      <c r="G22" s="7"/>
      <c r="H22" s="74" t="s">
        <v>6</v>
      </c>
      <c r="I22" s="75">
        <f>IF(OR($C$3="",$C$5=""),"",AC19)</f>
        <v>458544</v>
      </c>
      <c r="J22" s="75">
        <f t="shared" ref="J22:L22" si="15">IF(OR($C$3="",$C$5=""),"",AD19)</f>
        <v>77532</v>
      </c>
      <c r="K22" s="75">
        <f t="shared" si="15"/>
        <v>11316</v>
      </c>
      <c r="L22" s="76">
        <f t="shared" si="15"/>
        <v>547392</v>
      </c>
      <c r="M22" s="7"/>
      <c r="N22" s="7"/>
      <c r="AC22" s="63">
        <f>COUNTIF(AC7:AC18,"&gt;0")</f>
        <v>12</v>
      </c>
      <c r="AD22" s="63">
        <f>COUNTIF(AD7:AD18,"&gt;0")</f>
        <v>12</v>
      </c>
      <c r="AE22">
        <f>COUNTIF(AE7:AE18,"&gt;0")</f>
        <v>12</v>
      </c>
    </row>
    <row r="23" spans="1:32">
      <c r="G23" s="7"/>
      <c r="H23" s="36" t="s">
        <v>59</v>
      </c>
      <c r="I23" s="7"/>
      <c r="J23" s="8"/>
      <c r="K23" s="7"/>
      <c r="L23" s="7"/>
      <c r="M23" s="7"/>
      <c r="N23" s="7"/>
    </row>
    <row r="24" spans="1:32">
      <c r="G24" s="7"/>
      <c r="H24" s="36" t="s">
        <v>60</v>
      </c>
      <c r="I24" s="7"/>
      <c r="J24" s="7"/>
      <c r="K24" s="7"/>
      <c r="L24" s="7"/>
      <c r="M24" s="7"/>
      <c r="N24" s="7"/>
      <c r="AC24" s="3"/>
      <c r="AD24" s="3"/>
      <c r="AE24" s="3"/>
      <c r="AF24" s="3"/>
    </row>
    <row r="25" spans="1:32">
      <c r="G25" s="7"/>
      <c r="H25" s="36"/>
      <c r="I25" s="7"/>
      <c r="J25" s="7"/>
      <c r="K25" s="7"/>
      <c r="L25" s="7"/>
      <c r="M25" s="7"/>
      <c r="N25" s="7"/>
      <c r="AC25" s="63"/>
      <c r="AD25" s="63"/>
      <c r="AE25" s="63"/>
      <c r="AF25" s="3"/>
    </row>
    <row r="26" spans="1:32">
      <c r="G26" s="7"/>
      <c r="H26" s="18" t="s">
        <v>80</v>
      </c>
      <c r="I26" s="7"/>
      <c r="J26" s="7"/>
      <c r="K26" s="37"/>
      <c r="L26" s="50"/>
      <c r="M26" s="7"/>
      <c r="N26" s="7"/>
    </row>
    <row r="27" spans="1:32" ht="14.25" thickBot="1">
      <c r="G27" s="7"/>
      <c r="H27" s="80"/>
      <c r="I27" s="68" t="s">
        <v>12</v>
      </c>
      <c r="J27" s="68" t="s">
        <v>9</v>
      </c>
      <c r="K27" s="70" t="s">
        <v>54</v>
      </c>
      <c r="L27" s="68" t="s">
        <v>6</v>
      </c>
      <c r="M27" s="7"/>
      <c r="N27" s="7"/>
      <c r="X27" t="s">
        <v>66</v>
      </c>
    </row>
    <row r="28" spans="1:32" ht="14.25" thickBot="1">
      <c r="G28" s="7"/>
      <c r="H28" s="84" t="s">
        <v>5</v>
      </c>
      <c r="I28" s="85">
        <f>IF(OR($C$3="",$C$5=""),"",AC28)</f>
        <v>448934</v>
      </c>
      <c r="J28" s="85">
        <f>IF(OR($C$3="",$C$5=""),"",AD28)</f>
        <v>75907</v>
      </c>
      <c r="K28" s="85">
        <f>IF(OR($C$3="",$C$5=""),"",AE28)</f>
        <v>11079</v>
      </c>
      <c r="L28" s="86">
        <f>IF(OR($C$3="",$C$5=""),"",AF28)</f>
        <v>535920</v>
      </c>
      <c r="M28" s="7"/>
      <c r="N28" s="7"/>
      <c r="X28" t="s">
        <v>70</v>
      </c>
      <c r="AC28" s="63">
        <f>IF($AC20="","",ROUND(AC20*INDEX(掛金率等!$I:$I,MATCH(12,掛金率等!$H:$H,0)),0))</f>
        <v>448934</v>
      </c>
      <c r="AD28" s="63">
        <f>IF($AD20="","",ROUND(AD20*INDEX(掛金率等!$I:$I,MATCH(12,掛金率等!$H:$H,0)),0))</f>
        <v>75907</v>
      </c>
      <c r="AE28" s="63">
        <f>IF($AE20="","",ROUND(AE20*INDEX(掛金率等!$I:$I,MATCH(12,掛金率等!$H:$H,0)),0))</f>
        <v>11079</v>
      </c>
      <c r="AF28" s="3">
        <f>SUM(AC28:AE28)</f>
        <v>535920</v>
      </c>
    </row>
    <row r="29" spans="1:32">
      <c r="G29" s="7"/>
      <c r="H29" s="87" t="s">
        <v>69</v>
      </c>
      <c r="I29" s="88">
        <f>IF(OR($C$3="",$C$5="",AC22="",AC22=0),"",12)</f>
        <v>12</v>
      </c>
      <c r="J29" s="88">
        <f>IF(OR($C$3="",$C$5="",AD22="",AD22=0),"",12)</f>
        <v>12</v>
      </c>
      <c r="K29" s="88">
        <f>IF(OR($C$3="",$C$5="",AE22="",AE22=0),"",12)</f>
        <v>12</v>
      </c>
      <c r="L29" s="89" t="str">
        <f>IF(OR($C$3="",$C$5="",AF29=""),"",AF29)</f>
        <v/>
      </c>
      <c r="M29" s="7"/>
      <c r="N29" s="7"/>
    </row>
    <row r="30" spans="1:32">
      <c r="G30" s="7"/>
      <c r="H30" s="36" t="s">
        <v>67</v>
      </c>
      <c r="I30" s="7"/>
      <c r="J30" s="7"/>
      <c r="K30" s="7"/>
      <c r="L30" s="7"/>
      <c r="M30" s="7"/>
      <c r="N30" s="7"/>
    </row>
    <row r="31" spans="1:32">
      <c r="G31" s="7"/>
      <c r="H31" s="36"/>
      <c r="I31" s="7"/>
      <c r="J31" s="7"/>
      <c r="K31" s="7"/>
      <c r="L31" s="7"/>
      <c r="M31" s="7"/>
      <c r="N31" s="7"/>
    </row>
  </sheetData>
  <sheetProtection algorithmName="SHA-512" hashValue="nsiuWsM0gRXNduCr5hBhnyU7dpwnCr1nwNWa4JYswK0lXa2W3gi+6RdgSzUJ0AZCo+PjMRcZLtVtEHLokNawRQ==" saltValue="Ovc7AfbmroOa/qQO2iKhWw==" spinCount="100000" sheet="1" selectLockedCells="1"/>
  <protectedRanges>
    <protectedRange sqref="C5 C3" name="範囲1"/>
  </protectedRanges>
  <phoneticPr fontId="2"/>
  <pageMargins left="0.70866141732283472" right="0.70866141732283472" top="0.74803149606299213" bottom="0.74803149606299213" header="0.31496062992125984" footer="0.31496062992125984"/>
  <pageSetup paperSize="9" scale="95" orientation="landscape" r:id="rId1"/>
  <colBreaks count="1" manualBreakCount="1">
    <brk id="14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C0813-B3FD-4533-9C96-BB2CBBC2BF2A}">
  <dimension ref="A1:P14"/>
  <sheetViews>
    <sheetView view="pageBreakPreview" zoomScale="150" zoomScaleNormal="200" zoomScaleSheetLayoutView="150" workbookViewId="0">
      <selection activeCell="C17" sqref="C17"/>
    </sheetView>
  </sheetViews>
  <sheetFormatPr defaultRowHeight="13.5"/>
  <cols>
    <col min="1" max="1" width="11.625" bestFit="1" customWidth="1"/>
    <col min="2" max="2" width="9.5" bestFit="1" customWidth="1"/>
    <col min="3" max="3" width="18.375" bestFit="1" customWidth="1"/>
    <col min="4" max="6" width="6.5" bestFit="1" customWidth="1"/>
    <col min="7" max="7" width="42.75" bestFit="1" customWidth="1"/>
    <col min="8" max="8" width="5.5" bestFit="1" customWidth="1"/>
    <col min="9" max="9" width="12.75" bestFit="1" customWidth="1"/>
    <col min="10" max="10" width="22" customWidth="1"/>
    <col min="12" max="12" width="9.5" bestFit="1" customWidth="1"/>
    <col min="14" max="14" width="11.625" bestFit="1" customWidth="1"/>
  </cols>
  <sheetData>
    <row r="1" spans="1:16" ht="27">
      <c r="A1" s="31" t="s">
        <v>23</v>
      </c>
      <c r="B1" s="31" t="s">
        <v>24</v>
      </c>
      <c r="C1" s="32" t="s">
        <v>4</v>
      </c>
      <c r="D1" s="32" t="s">
        <v>0</v>
      </c>
      <c r="E1" s="32" t="s">
        <v>1</v>
      </c>
      <c r="F1" s="66" t="s">
        <v>55</v>
      </c>
      <c r="G1" s="49" t="s">
        <v>48</v>
      </c>
      <c r="H1" s="45" t="s">
        <v>38</v>
      </c>
      <c r="I1" s="40" t="s">
        <v>39</v>
      </c>
      <c r="J1" s="52" t="s">
        <v>47</v>
      </c>
      <c r="K1" s="39" t="s">
        <v>15</v>
      </c>
      <c r="L1" s="40" t="s">
        <v>17</v>
      </c>
      <c r="M1" s="39" t="s">
        <v>15</v>
      </c>
      <c r="N1" s="48" t="s">
        <v>40</v>
      </c>
      <c r="O1" s="45" t="s">
        <v>52</v>
      </c>
      <c r="P1" s="40" t="s">
        <v>16</v>
      </c>
    </row>
    <row r="2" spans="1:16">
      <c r="A2" s="6">
        <v>2024</v>
      </c>
      <c r="B2" s="6" t="s">
        <v>25</v>
      </c>
      <c r="C2" s="5">
        <v>380000</v>
      </c>
      <c r="D2" s="28">
        <v>93.2</v>
      </c>
      <c r="E2" s="6">
        <v>15.92</v>
      </c>
      <c r="F2" s="28">
        <v>0</v>
      </c>
      <c r="G2" s="51" t="s">
        <v>43</v>
      </c>
      <c r="H2" s="41">
        <v>1</v>
      </c>
      <c r="I2" s="46">
        <v>0.99673690000000004</v>
      </c>
      <c r="J2" s="53" t="s">
        <v>44</v>
      </c>
      <c r="K2" s="41">
        <v>4</v>
      </c>
      <c r="L2" s="42">
        <v>12</v>
      </c>
      <c r="M2" s="41">
        <v>4</v>
      </c>
      <c r="N2" s="42">
        <v>11</v>
      </c>
      <c r="O2" s="41">
        <v>4</v>
      </c>
      <c r="P2" s="42">
        <v>0</v>
      </c>
    </row>
    <row r="3" spans="1:16">
      <c r="A3" s="6">
        <v>2025</v>
      </c>
      <c r="B3" s="6" t="s">
        <v>26</v>
      </c>
      <c r="C3" s="5">
        <v>380000</v>
      </c>
      <c r="D3" s="28">
        <v>93.2</v>
      </c>
      <c r="E3" s="6">
        <v>16.079999999999998</v>
      </c>
      <c r="F3" s="28">
        <v>0</v>
      </c>
      <c r="H3" s="41">
        <v>2</v>
      </c>
      <c r="I3" s="46">
        <v>1.9902215000000001</v>
      </c>
      <c r="J3" s="54" t="s">
        <v>45</v>
      </c>
      <c r="K3" s="41">
        <v>5</v>
      </c>
      <c r="L3" s="42">
        <v>11</v>
      </c>
      <c r="M3" s="41">
        <v>5</v>
      </c>
      <c r="N3" s="42">
        <v>10</v>
      </c>
      <c r="O3" s="41">
        <v>5</v>
      </c>
      <c r="P3" s="42">
        <v>1</v>
      </c>
    </row>
    <row r="4" spans="1:16">
      <c r="A4" s="6">
        <v>2026</v>
      </c>
      <c r="B4" s="6" t="s">
        <v>27</v>
      </c>
      <c r="C4" s="5">
        <v>410000</v>
      </c>
      <c r="D4" s="28">
        <v>93.2</v>
      </c>
      <c r="E4" s="6">
        <v>15.76</v>
      </c>
      <c r="F4" s="28">
        <v>2.2999999999999998</v>
      </c>
      <c r="H4" s="41">
        <v>3</v>
      </c>
      <c r="I4" s="46">
        <v>2.9804642000000001</v>
      </c>
      <c r="J4" s="54" t="s">
        <v>46</v>
      </c>
      <c r="K4" s="41">
        <v>6</v>
      </c>
      <c r="L4" s="42">
        <v>10</v>
      </c>
      <c r="M4" s="41">
        <v>6</v>
      </c>
      <c r="N4" s="42">
        <v>9</v>
      </c>
      <c r="O4" s="41">
        <v>6</v>
      </c>
      <c r="P4" s="42">
        <v>2</v>
      </c>
    </row>
    <row r="5" spans="1:16">
      <c r="A5" s="6">
        <v>2027</v>
      </c>
      <c r="B5" s="6" t="s">
        <v>28</v>
      </c>
      <c r="C5" s="5"/>
      <c r="D5" s="6"/>
      <c r="E5" s="6"/>
      <c r="F5" s="28"/>
      <c r="H5" s="41">
        <v>4</v>
      </c>
      <c r="I5" s="46">
        <v>3.9674757</v>
      </c>
      <c r="J5" s="55"/>
      <c r="K5" s="41">
        <v>7</v>
      </c>
      <c r="L5" s="42">
        <v>9</v>
      </c>
      <c r="M5" s="41">
        <v>7</v>
      </c>
      <c r="N5" s="42">
        <v>8</v>
      </c>
      <c r="O5" s="41">
        <v>7</v>
      </c>
      <c r="P5" s="42">
        <v>3</v>
      </c>
    </row>
    <row r="6" spans="1:16">
      <c r="A6" s="6">
        <v>2028</v>
      </c>
      <c r="B6" s="6" t="s">
        <v>29</v>
      </c>
      <c r="C6" s="5"/>
      <c r="D6" s="6"/>
      <c r="E6" s="6"/>
      <c r="F6" s="28"/>
      <c r="H6" s="41">
        <v>5</v>
      </c>
      <c r="I6" s="46">
        <v>4.9512666000000003</v>
      </c>
      <c r="J6" s="55"/>
      <c r="K6" s="41">
        <v>8</v>
      </c>
      <c r="L6" s="42">
        <v>8</v>
      </c>
      <c r="M6" s="41">
        <v>8</v>
      </c>
      <c r="N6" s="42">
        <v>7</v>
      </c>
      <c r="O6" s="41">
        <v>8</v>
      </c>
      <c r="P6" s="42">
        <v>4</v>
      </c>
    </row>
    <row r="7" spans="1:16">
      <c r="A7" s="6">
        <v>2029</v>
      </c>
      <c r="B7" s="6" t="s">
        <v>30</v>
      </c>
      <c r="C7" s="5"/>
      <c r="D7" s="6"/>
      <c r="E7" s="6"/>
      <c r="F7" s="28"/>
      <c r="H7" s="41">
        <v>6</v>
      </c>
      <c r="I7" s="46">
        <v>5.9318472</v>
      </c>
      <c r="J7" s="55"/>
      <c r="K7" s="41">
        <v>9</v>
      </c>
      <c r="L7" s="42">
        <v>7</v>
      </c>
      <c r="M7" s="41">
        <v>9</v>
      </c>
      <c r="N7" s="42">
        <v>6</v>
      </c>
      <c r="O7" s="41">
        <v>9</v>
      </c>
      <c r="P7" s="42">
        <v>5</v>
      </c>
    </row>
    <row r="8" spans="1:16">
      <c r="A8" s="6">
        <v>2030</v>
      </c>
      <c r="B8" s="6" t="s">
        <v>31</v>
      </c>
      <c r="C8" s="5"/>
      <c r="D8" s="6"/>
      <c r="E8" s="6"/>
      <c r="F8" s="28"/>
      <c r="H8" s="41">
        <v>7</v>
      </c>
      <c r="I8" s="46">
        <v>6.9092282000000003</v>
      </c>
      <c r="J8" s="55"/>
      <c r="K8" s="41">
        <v>10</v>
      </c>
      <c r="L8" s="42">
        <v>6</v>
      </c>
      <c r="M8" s="41">
        <v>10</v>
      </c>
      <c r="N8" s="42">
        <v>5</v>
      </c>
      <c r="O8" s="41">
        <v>10</v>
      </c>
      <c r="P8" s="42">
        <v>6</v>
      </c>
    </row>
    <row r="9" spans="1:16">
      <c r="A9" s="6">
        <v>2031</v>
      </c>
      <c r="B9" s="6" t="s">
        <v>32</v>
      </c>
      <c r="C9" s="5"/>
      <c r="D9" s="6"/>
      <c r="E9" s="6"/>
      <c r="F9" s="28"/>
      <c r="H9" s="41">
        <v>8</v>
      </c>
      <c r="I9" s="46">
        <v>7.8834200000000001</v>
      </c>
      <c r="J9" s="55"/>
      <c r="K9" s="41">
        <v>11</v>
      </c>
      <c r="L9" s="42">
        <v>5</v>
      </c>
      <c r="M9" s="41">
        <v>11</v>
      </c>
      <c r="N9" s="42">
        <v>4</v>
      </c>
      <c r="O9" s="41">
        <v>11</v>
      </c>
      <c r="P9" s="42">
        <v>7</v>
      </c>
    </row>
    <row r="10" spans="1:16">
      <c r="A10" s="6">
        <v>2032</v>
      </c>
      <c r="B10" s="6" t="s">
        <v>49</v>
      </c>
      <c r="C10" s="5"/>
      <c r="D10" s="6"/>
      <c r="E10" s="6"/>
      <c r="F10" s="28"/>
      <c r="H10" s="41">
        <v>9</v>
      </c>
      <c r="I10" s="46">
        <v>8.8544329000000008</v>
      </c>
      <c r="J10" s="55"/>
      <c r="K10" s="41">
        <v>12</v>
      </c>
      <c r="L10" s="42">
        <v>4</v>
      </c>
      <c r="M10" s="41">
        <v>12</v>
      </c>
      <c r="N10" s="42">
        <v>3</v>
      </c>
      <c r="O10" s="41">
        <v>12</v>
      </c>
      <c r="P10" s="42">
        <v>8</v>
      </c>
    </row>
    <row r="11" spans="1:16">
      <c r="A11" s="6">
        <v>2033</v>
      </c>
      <c r="B11" s="6" t="s">
        <v>50</v>
      </c>
      <c r="C11" s="5"/>
      <c r="D11" s="6"/>
      <c r="E11" s="6"/>
      <c r="F11" s="28"/>
      <c r="H11" s="41">
        <v>10</v>
      </c>
      <c r="I11" s="46">
        <v>9.8222772999999997</v>
      </c>
      <c r="J11" s="55"/>
      <c r="K11" s="41">
        <v>1</v>
      </c>
      <c r="L11" s="42">
        <v>3</v>
      </c>
      <c r="M11" s="41">
        <v>1</v>
      </c>
      <c r="N11" s="42">
        <v>2</v>
      </c>
      <c r="O11" s="41">
        <v>1</v>
      </c>
      <c r="P11" s="42">
        <v>9</v>
      </c>
    </row>
    <row r="12" spans="1:16">
      <c r="H12" s="41">
        <v>11</v>
      </c>
      <c r="I12" s="46">
        <v>10.7869636</v>
      </c>
      <c r="J12" s="55"/>
      <c r="K12" s="41">
        <v>2</v>
      </c>
      <c r="L12" s="42">
        <v>2</v>
      </c>
      <c r="M12" s="41">
        <v>2</v>
      </c>
      <c r="N12" s="42">
        <v>1</v>
      </c>
      <c r="O12" s="41">
        <v>2</v>
      </c>
      <c r="P12" s="42">
        <v>10</v>
      </c>
    </row>
    <row r="13" spans="1:16" ht="14.25" thickBot="1">
      <c r="H13" s="43">
        <v>12</v>
      </c>
      <c r="I13" s="47">
        <v>11.748502</v>
      </c>
      <c r="J13" s="55"/>
      <c r="K13" s="43">
        <v>3</v>
      </c>
      <c r="L13" s="44">
        <v>1</v>
      </c>
      <c r="M13" s="43">
        <v>3</v>
      </c>
      <c r="N13" s="44">
        <v>0</v>
      </c>
      <c r="O13" s="43">
        <v>3</v>
      </c>
      <c r="P13" s="44">
        <v>11</v>
      </c>
    </row>
    <row r="14" spans="1:16">
      <c r="H14" s="77">
        <v>0</v>
      </c>
      <c r="I14" s="78">
        <v>0</v>
      </c>
    </row>
  </sheetData>
  <sheetProtection algorithmName="SHA-512" hashValue="iT8csvuW05MZtjyBCIXYCzm8gPMkKpJ2BopzNkkhCRXpSZmveSraNKNBwUO35p0iL5ftnKMxOhD4k7pT/dXrcQ==" saltValue="6BpztspNFz2jXbcl8Nahcg==" spinCount="100000" sheet="1" objects="1" scenarios="1"/>
  <phoneticPr fontId="2"/>
  <pageMargins left="0.31496062992125984" right="0.31496062992125984" top="0.74803149606299213" bottom="0.74803149606299213" header="0.31496062992125984" footer="0.31496062992125984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9F9F-F708-46ED-84B6-962291DADAD7}">
  <dimension ref="C2:C12"/>
  <sheetViews>
    <sheetView workbookViewId="0">
      <selection activeCell="D14" sqref="D14"/>
    </sheetView>
  </sheetViews>
  <sheetFormatPr defaultRowHeight="13.5"/>
  <sheetData>
    <row r="2" spans="3:3">
      <c r="C2">
        <v>0.99673690000000004</v>
      </c>
    </row>
    <row r="3" spans="3:3">
      <c r="C3">
        <v>1.9902215000000001</v>
      </c>
    </row>
    <row r="4" spans="3:3">
      <c r="C4">
        <v>2.9804642000000001</v>
      </c>
    </row>
    <row r="5" spans="3:3">
      <c r="C5">
        <v>3.9674757</v>
      </c>
    </row>
    <row r="6" spans="3:3">
      <c r="C6">
        <v>4.9512666000000003</v>
      </c>
    </row>
    <row r="7" spans="3:3">
      <c r="C7">
        <v>5.9318472</v>
      </c>
    </row>
    <row r="8" spans="3:3">
      <c r="C8">
        <v>6.9092282000000003</v>
      </c>
    </row>
    <row r="9" spans="3:3">
      <c r="C9">
        <v>7.8834200000000001</v>
      </c>
    </row>
    <row r="10" spans="3:3">
      <c r="C10">
        <v>8.8544329000000008</v>
      </c>
    </row>
    <row r="11" spans="3:3">
      <c r="C11">
        <v>9.8222772999999997</v>
      </c>
    </row>
    <row r="12" spans="3:3">
      <c r="C12">
        <v>10.7869636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試算（１年目）</vt:lpstr>
      <vt:lpstr>試算（２年目）</vt:lpstr>
      <vt:lpstr>掛金率等</vt:lpstr>
      <vt:lpstr>Sheet1</vt:lpstr>
      <vt:lpstr>'試算（１年目）'!Print_Area</vt:lpstr>
      <vt:lpstr>'試算（２年目）'!Print_Area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　智士</dc:creator>
  <cp:lastModifiedBy>近藤　帆風</cp:lastModifiedBy>
  <cp:lastPrinted>2026-07-08T02:19:09Z</cp:lastPrinted>
  <dcterms:created xsi:type="dcterms:W3CDTF">2025-02-04T13:16:23Z</dcterms:created>
  <dcterms:modified xsi:type="dcterms:W3CDTF">2026-09-03T23:43:52Z</dcterms:modified>
</cp:coreProperties>
</file>