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BA86442B-2EC1-43D6-98A6-CFEA99032C14}" xr6:coauthVersionLast="47" xr6:coauthVersionMax="47" xr10:uidLastSave="{00000000-0000-0000-0000-000000000000}"/>
  <bookViews>
    <workbookView xWindow="-120" yWindow="-120" windowWidth="29040" windowHeight="17520" xr2:uid="{00000000-000D-0000-FFFF-FFFF00000000}"/>
  </bookViews>
  <sheets>
    <sheet name="1" sheetId="2" r:id="rId1"/>
    <sheet name="0" sheetId="1" state="hidden" r:id="rId2"/>
    <sheet name="Sheet2" sheetId="4" state="hidden" r:id="rId3"/>
  </sheets>
  <definedNames>
    <definedName name="_xlnm.Print_Area" localSheetId="1">'0'!$K$57:$S$71</definedName>
    <definedName name="_xlnm.Print_Area" localSheetId="0">'1'!$A$1:$K$32</definedName>
    <definedName name="_xlnm.Print_Area" localSheetId="2">Sheet2!$B$1:$O$72</definedName>
    <definedName name="yn">'0'!$F$2:$F$3</definedName>
    <definedName name="年">'0'!$D$2:$D$3</definedName>
    <definedName name="年度">'0'!$H$5:$H$6</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2" i="2" l="1"/>
  <c r="B16" i="1" l="1"/>
  <c r="B15" i="1"/>
  <c r="B14" i="1"/>
  <c r="B13" i="1"/>
  <c r="S58" i="1" l="1"/>
  <c r="Q9" i="4"/>
  <c r="Q10" i="4"/>
  <c r="Q11" i="4" s="1"/>
  <c r="Q12" i="4" s="1"/>
  <c r="Q13" i="4" s="1"/>
  <c r="Q14" i="4" s="1"/>
  <c r="Q15" i="4" s="1"/>
  <c r="Q16" i="4" s="1"/>
  <c r="Q17" i="4" s="1"/>
  <c r="Q18" i="4" s="1"/>
  <c r="Q19" i="4" s="1"/>
  <c r="B1" i="1"/>
  <c r="N2" i="1"/>
  <c r="O2" i="1"/>
  <c r="P2" i="1"/>
  <c r="N3" i="1"/>
  <c r="O3" i="1"/>
  <c r="P3" i="1"/>
  <c r="P16" i="1"/>
  <c r="O16" i="1"/>
  <c r="N16" i="1"/>
  <c r="B4" i="1"/>
  <c r="P29" i="1"/>
  <c r="P28" i="1"/>
  <c r="P27" i="1"/>
  <c r="P26" i="1"/>
  <c r="P25" i="1"/>
  <c r="P24" i="1"/>
  <c r="P23" i="1"/>
  <c r="P22" i="1"/>
  <c r="P21" i="1"/>
  <c r="P20" i="1"/>
  <c r="P19" i="1"/>
  <c r="P18" i="1"/>
  <c r="P17" i="1"/>
  <c r="P15" i="1"/>
  <c r="P14" i="1"/>
  <c r="P13" i="1"/>
  <c r="P12" i="1"/>
  <c r="P11" i="1"/>
  <c r="P10" i="1"/>
  <c r="P9" i="1"/>
  <c r="P8" i="1"/>
  <c r="P7" i="1"/>
  <c r="P6" i="1"/>
  <c r="P5" i="1"/>
  <c r="P4" i="1"/>
  <c r="N15" i="1"/>
  <c r="O15" i="1"/>
  <c r="N17" i="1"/>
  <c r="O17" i="1"/>
  <c r="N18" i="1"/>
  <c r="O18" i="1"/>
  <c r="N19" i="1"/>
  <c r="O19" i="1"/>
  <c r="N20" i="1"/>
  <c r="O20" i="1"/>
  <c r="N21" i="1"/>
  <c r="O21" i="1"/>
  <c r="N22" i="1"/>
  <c r="O22" i="1"/>
  <c r="N23" i="1"/>
  <c r="O23" i="1"/>
  <c r="N24" i="1"/>
  <c r="O24" i="1"/>
  <c r="N25" i="1"/>
  <c r="O25" i="1"/>
  <c r="N26" i="1"/>
  <c r="O26" i="1"/>
  <c r="N27" i="1"/>
  <c r="O27" i="1"/>
  <c r="N28" i="1"/>
  <c r="O28" i="1"/>
  <c r="N29" i="1"/>
  <c r="O29" i="1"/>
  <c r="N13" i="1"/>
  <c r="O13" i="1"/>
  <c r="N14" i="1"/>
  <c r="O14" i="1"/>
  <c r="O12" i="1"/>
  <c r="N12" i="1"/>
  <c r="N11" i="1"/>
  <c r="O11" i="1"/>
  <c r="O10" i="1"/>
  <c r="N10" i="1"/>
  <c r="O9" i="1"/>
  <c r="N9" i="1"/>
  <c r="O8" i="1"/>
  <c r="N8" i="1"/>
  <c r="O7" i="1"/>
  <c r="N7" i="1"/>
  <c r="O6" i="1"/>
  <c r="N6" i="1"/>
  <c r="O4" i="1"/>
  <c r="O5" i="1"/>
  <c r="N4" i="1"/>
  <c r="N5" i="1"/>
  <c r="B3" i="1"/>
  <c r="B6" i="1"/>
  <c r="B2" i="1"/>
  <c r="F45" i="1" s="1"/>
  <c r="D69" i="1" l="1"/>
  <c r="I3" i="4" s="1"/>
  <c r="D63" i="1"/>
  <c r="E3" i="4" s="1"/>
  <c r="B11" i="1"/>
  <c r="B12" i="1"/>
  <c r="B8" i="1"/>
  <c r="D66" i="1"/>
  <c r="H3" i="4" s="1"/>
  <c r="D60" i="1"/>
  <c r="D3" i="4" s="1"/>
  <c r="B10" i="1"/>
  <c r="D6" i="1"/>
  <c r="K70" i="1" s="1"/>
  <c r="K69" i="1" s="1"/>
  <c r="K68" i="1" s="1"/>
  <c r="K67" i="1" s="1"/>
  <c r="K66" i="1" s="1"/>
  <c r="K65" i="1" s="1"/>
  <c r="K64" i="1" s="1"/>
  <c r="K63" i="1" s="1"/>
  <c r="K62" i="1" s="1"/>
  <c r="K61" i="1" s="1"/>
  <c r="K60" i="1" s="1"/>
  <c r="K59" i="1" s="1"/>
  <c r="B9" i="1"/>
  <c r="D37" i="1" s="1"/>
  <c r="F42" i="1"/>
  <c r="F48" i="1"/>
  <c r="F39" i="1"/>
  <c r="B37" i="1" l="1"/>
  <c r="B34" i="1"/>
  <c r="D13" i="2"/>
  <c r="D9" i="1"/>
  <c r="D34" i="1"/>
  <c r="D8" i="1"/>
  <c r="F37" i="1"/>
  <c r="B5" i="1"/>
  <c r="B49" i="1" l="1"/>
  <c r="B43" i="1"/>
  <c r="F34" i="1"/>
  <c r="F12" i="2" s="1"/>
  <c r="E10" i="2"/>
  <c r="B63" i="1"/>
  <c r="F63" i="1" s="1"/>
  <c r="B66" i="1"/>
  <c r="B69" i="1"/>
  <c r="F69" i="1" s="1"/>
  <c r="B60" i="1"/>
  <c r="C3" i="4" s="1"/>
  <c r="D51" i="1"/>
  <c r="A7" i="1"/>
  <c r="D52" i="1"/>
  <c r="D43" i="1"/>
  <c r="D42" i="1"/>
  <c r="D40" i="1"/>
  <c r="F43" i="1"/>
  <c r="D45" i="1"/>
  <c r="D55" i="1"/>
  <c r="D46" i="1"/>
  <c r="D39" i="1"/>
  <c r="D49" i="1"/>
  <c r="B52" i="1"/>
  <c r="B46" i="1"/>
  <c r="B55" i="1"/>
  <c r="F49" i="1"/>
  <c r="D48" i="1"/>
  <c r="D54" i="1"/>
  <c r="F60" i="1" l="1"/>
  <c r="L59" i="1" s="1"/>
  <c r="M59" i="1" s="1"/>
  <c r="O59" i="1" s="1"/>
  <c r="B40" i="1"/>
  <c r="F40" i="1"/>
  <c r="F46" i="1"/>
  <c r="H45" i="1" s="1"/>
  <c r="H51" i="1"/>
  <c r="G3" i="4"/>
  <c r="F66" i="1"/>
  <c r="H54" i="1"/>
  <c r="H42" i="1"/>
  <c r="H48" i="1"/>
  <c r="L60" i="1" l="1"/>
  <c r="C46" i="4"/>
  <c r="H46" i="4" s="1"/>
  <c r="C45" i="4"/>
  <c r="E45" i="4" s="1"/>
  <c r="C44" i="4"/>
  <c r="E44" i="4" s="1"/>
  <c r="C60" i="4"/>
  <c r="E60" i="4" s="1"/>
  <c r="C12" i="4"/>
  <c r="H12" i="4" s="1"/>
  <c r="C8" i="4"/>
  <c r="D8" i="4" s="1"/>
  <c r="C25" i="4"/>
  <c r="D25" i="4" s="1"/>
  <c r="C30" i="4"/>
  <c r="E30" i="4" s="1"/>
  <c r="C65" i="4"/>
  <c r="F65" i="4" s="1"/>
  <c r="C11" i="4"/>
  <c r="D11" i="4" s="1"/>
  <c r="C27" i="4"/>
  <c r="D27" i="4" s="1"/>
  <c r="L62" i="1"/>
  <c r="C13" i="4"/>
  <c r="I13" i="4" s="1"/>
  <c r="P60" i="1"/>
  <c r="Q60" i="1" s="1"/>
  <c r="C47" i="4"/>
  <c r="I47" i="4" s="1"/>
  <c r="C29" i="4"/>
  <c r="D29" i="4" s="1"/>
  <c r="C42" i="4"/>
  <c r="D42" i="4" s="1"/>
  <c r="C63" i="4"/>
  <c r="E63" i="4" s="1"/>
  <c r="L64" i="1"/>
  <c r="C9" i="4"/>
  <c r="E9" i="4" s="1"/>
  <c r="L61" i="1"/>
  <c r="M61" i="1" s="1"/>
  <c r="O61" i="1" s="1"/>
  <c r="C43" i="4"/>
  <c r="D43" i="4" s="1"/>
  <c r="C28" i="4"/>
  <c r="F28" i="4" s="1"/>
  <c r="L63" i="1"/>
  <c r="C62" i="4"/>
  <c r="D62" i="4" s="1"/>
  <c r="C64" i="4"/>
  <c r="E64" i="4" s="1"/>
  <c r="C10" i="4"/>
  <c r="D10" i="4" s="1"/>
  <c r="C61" i="4"/>
  <c r="F61" i="4" s="1"/>
  <c r="C26" i="4"/>
  <c r="D26" i="4" s="1"/>
  <c r="H39" i="1"/>
  <c r="G13" i="4"/>
  <c r="D13" i="4"/>
  <c r="E65" i="4"/>
  <c r="E27" i="4"/>
  <c r="G45" i="4"/>
  <c r="C69" i="4"/>
  <c r="C15" i="4"/>
  <c r="C48" i="4"/>
  <c r="C18" i="4"/>
  <c r="C35" i="4"/>
  <c r="C51" i="4"/>
  <c r="L68" i="1"/>
  <c r="C34" i="4"/>
  <c r="C53" i="4"/>
  <c r="C67" i="4"/>
  <c r="C17" i="4"/>
  <c r="L66" i="1"/>
  <c r="C19" i="4"/>
  <c r="C66" i="4"/>
  <c r="L69" i="1"/>
  <c r="C14" i="4"/>
  <c r="C70" i="4"/>
  <c r="L70" i="1"/>
  <c r="C33" i="4"/>
  <c r="C71" i="4"/>
  <c r="C32" i="4"/>
  <c r="C16" i="4"/>
  <c r="C31" i="4"/>
  <c r="C36" i="4"/>
  <c r="C52" i="4"/>
  <c r="C49" i="4"/>
  <c r="C50" i="4"/>
  <c r="L65" i="1"/>
  <c r="C68" i="4"/>
  <c r="L67" i="1"/>
  <c r="D12" i="4"/>
  <c r="P59" i="1"/>
  <c r="Q59" i="1" s="1"/>
  <c r="G46" i="4"/>
  <c r="E29" i="4"/>
  <c r="M60" i="1"/>
  <c r="O60" i="1" s="1"/>
  <c r="D46" i="4" l="1"/>
  <c r="E12" i="4"/>
  <c r="F46" i="4"/>
  <c r="E13" i="4"/>
  <c r="E46" i="4"/>
  <c r="D44" i="4"/>
  <c r="G12" i="4"/>
  <c r="F27" i="4"/>
  <c r="F12" i="4"/>
  <c r="D65" i="4"/>
  <c r="F44" i="4"/>
  <c r="H13" i="4"/>
  <c r="F13" i="4"/>
  <c r="F60" i="4"/>
  <c r="D45" i="4"/>
  <c r="F45" i="4"/>
  <c r="F29" i="4"/>
  <c r="G29" i="4"/>
  <c r="E11" i="4"/>
  <c r="G30" i="4"/>
  <c r="F63" i="4"/>
  <c r="D64" i="4"/>
  <c r="D60" i="4"/>
  <c r="G11" i="4"/>
  <c r="F30" i="4"/>
  <c r="D30" i="4"/>
  <c r="D9" i="4"/>
  <c r="H29" i="4"/>
  <c r="E43" i="4"/>
  <c r="D63" i="4"/>
  <c r="F64" i="4"/>
  <c r="F11" i="4"/>
  <c r="I30" i="4"/>
  <c r="H30" i="4"/>
  <c r="E26" i="4"/>
  <c r="D47" i="4"/>
  <c r="G47" i="4"/>
  <c r="P62" i="1"/>
  <c r="Q62" i="1" s="1"/>
  <c r="P64" i="1"/>
  <c r="Q64" i="1" s="1"/>
  <c r="E47" i="4"/>
  <c r="M62" i="1"/>
  <c r="O62" i="1" s="1"/>
  <c r="M64" i="1"/>
  <c r="O64" i="1" s="1"/>
  <c r="F47" i="4"/>
  <c r="E28" i="4"/>
  <c r="D61" i="4"/>
  <c r="E61" i="4"/>
  <c r="P66" i="1"/>
  <c r="Q66" i="1" s="1"/>
  <c r="P63" i="1"/>
  <c r="Q63" i="1" s="1"/>
  <c r="M63" i="1"/>
  <c r="O63" i="1" s="1"/>
  <c r="H47" i="4"/>
  <c r="P61" i="1"/>
  <c r="Q61" i="1" s="1"/>
  <c r="D28" i="4"/>
  <c r="G28" i="4"/>
  <c r="P65" i="1"/>
  <c r="Q65" i="1" s="1"/>
  <c r="F62" i="4"/>
  <c r="E10" i="4"/>
  <c r="E62" i="4"/>
  <c r="M66" i="1"/>
  <c r="O66" i="1" s="1"/>
  <c r="F10" i="4"/>
  <c r="M67" i="1"/>
  <c r="O67" i="1" s="1"/>
  <c r="M65" i="1"/>
  <c r="O65" i="1" s="1"/>
  <c r="P67" i="1"/>
  <c r="Q67" i="1" s="1"/>
  <c r="L71" i="1"/>
  <c r="E17" i="2" s="1"/>
  <c r="M69" i="1"/>
  <c r="O69" i="1" s="1"/>
  <c r="P68" i="1"/>
  <c r="Q68" i="1" s="1"/>
  <c r="D68" i="4"/>
  <c r="F68" i="4"/>
  <c r="E68" i="4"/>
  <c r="D50" i="4"/>
  <c r="I50" i="4"/>
  <c r="G50" i="4"/>
  <c r="E50" i="4"/>
  <c r="F50" i="4"/>
  <c r="K50" i="4"/>
  <c r="L50" i="4"/>
  <c r="H50" i="4"/>
  <c r="J50" i="4"/>
  <c r="E52" i="4"/>
  <c r="I52" i="4"/>
  <c r="J52" i="4"/>
  <c r="D52" i="4"/>
  <c r="H52" i="4"/>
  <c r="L52" i="4"/>
  <c r="K52" i="4"/>
  <c r="G52" i="4"/>
  <c r="N52" i="4"/>
  <c r="F52" i="4"/>
  <c r="M52" i="4"/>
  <c r="F31" i="4"/>
  <c r="D31" i="4"/>
  <c r="E31" i="4"/>
  <c r="J31" i="4"/>
  <c r="H31" i="4"/>
  <c r="I31" i="4"/>
  <c r="G31" i="4"/>
  <c r="I32" i="4"/>
  <c r="F32" i="4"/>
  <c r="D32" i="4"/>
  <c r="E32" i="4"/>
  <c r="H32" i="4"/>
  <c r="J32" i="4"/>
  <c r="G32" i="4"/>
  <c r="K32" i="4"/>
  <c r="K33" i="4"/>
  <c r="E33" i="4"/>
  <c r="I33" i="4"/>
  <c r="L33" i="4"/>
  <c r="D33" i="4"/>
  <c r="F33" i="4"/>
  <c r="G33" i="4"/>
  <c r="J33" i="4"/>
  <c r="H33" i="4"/>
  <c r="E70" i="4"/>
  <c r="F70" i="4"/>
  <c r="D70" i="4"/>
  <c r="J19" i="4"/>
  <c r="G19" i="4"/>
  <c r="I19" i="4"/>
  <c r="H19" i="4"/>
  <c r="D19" i="4"/>
  <c r="N19" i="4"/>
  <c r="O19" i="4"/>
  <c r="O20" i="4" s="1"/>
  <c r="E19" i="4"/>
  <c r="F19" i="4"/>
  <c r="L19" i="4"/>
  <c r="K19" i="4"/>
  <c r="M19" i="4"/>
  <c r="J17" i="4"/>
  <c r="M17" i="4"/>
  <c r="K17" i="4"/>
  <c r="F17" i="4"/>
  <c r="D17" i="4"/>
  <c r="G17" i="4"/>
  <c r="L17" i="4"/>
  <c r="I17" i="4"/>
  <c r="E17" i="4"/>
  <c r="H17" i="4"/>
  <c r="M53" i="4"/>
  <c r="D53" i="4"/>
  <c r="N53" i="4"/>
  <c r="G53" i="4"/>
  <c r="F53" i="4"/>
  <c r="K53" i="4"/>
  <c r="L53" i="4"/>
  <c r="J53" i="4"/>
  <c r="E53" i="4"/>
  <c r="H53" i="4"/>
  <c r="O53" i="4"/>
  <c r="O54" i="4" s="1"/>
  <c r="I53" i="4"/>
  <c r="F35" i="4"/>
  <c r="N35" i="4"/>
  <c r="D35" i="4"/>
  <c r="J35" i="4"/>
  <c r="L35" i="4"/>
  <c r="I35" i="4"/>
  <c r="K35" i="4"/>
  <c r="M35" i="4"/>
  <c r="G35" i="4"/>
  <c r="E35" i="4"/>
  <c r="H35" i="4"/>
  <c r="F48" i="4"/>
  <c r="D48" i="4"/>
  <c r="H48" i="4"/>
  <c r="E48" i="4"/>
  <c r="G48" i="4"/>
  <c r="J48" i="4"/>
  <c r="I48" i="4"/>
  <c r="D69" i="4"/>
  <c r="E69" i="4"/>
  <c r="F69" i="4"/>
  <c r="M70" i="1"/>
  <c r="O70" i="1" s="1"/>
  <c r="P70" i="1"/>
  <c r="Q70" i="1" s="1"/>
  <c r="M68" i="1"/>
  <c r="O68" i="1" s="1"/>
  <c r="P69" i="1"/>
  <c r="Q69" i="1" s="1"/>
  <c r="D49" i="4"/>
  <c r="J49" i="4"/>
  <c r="I49" i="4"/>
  <c r="H49" i="4"/>
  <c r="G49" i="4"/>
  <c r="F49" i="4"/>
  <c r="K49" i="4"/>
  <c r="E49" i="4"/>
  <c r="N36" i="4"/>
  <c r="D36" i="4"/>
  <c r="L36" i="4"/>
  <c r="F36" i="4"/>
  <c r="J36" i="4"/>
  <c r="O36" i="4"/>
  <c r="O37" i="4" s="1"/>
  <c r="E36" i="4"/>
  <c r="H36" i="4"/>
  <c r="M36" i="4"/>
  <c r="K36" i="4"/>
  <c r="G36" i="4"/>
  <c r="I36" i="4"/>
  <c r="I16" i="4"/>
  <c r="G16" i="4"/>
  <c r="L16" i="4"/>
  <c r="K16" i="4"/>
  <c r="E16" i="4"/>
  <c r="F16" i="4"/>
  <c r="H16" i="4"/>
  <c r="D16" i="4"/>
  <c r="J16" i="4"/>
  <c r="D71" i="4"/>
  <c r="F71" i="4"/>
  <c r="E71" i="4"/>
  <c r="H14" i="4"/>
  <c r="D14" i="4"/>
  <c r="G14" i="4"/>
  <c r="F14" i="4"/>
  <c r="I14" i="4"/>
  <c r="J14" i="4"/>
  <c r="E14" i="4"/>
  <c r="E66" i="4"/>
  <c r="F66" i="4"/>
  <c r="D66" i="4"/>
  <c r="E67" i="4"/>
  <c r="D67" i="4"/>
  <c r="F67" i="4"/>
  <c r="G34" i="4"/>
  <c r="F34" i="4"/>
  <c r="J34" i="4"/>
  <c r="K34" i="4"/>
  <c r="I34" i="4"/>
  <c r="E34" i="4"/>
  <c r="L34" i="4"/>
  <c r="D34" i="4"/>
  <c r="M34" i="4"/>
  <c r="H34" i="4"/>
  <c r="I51" i="4"/>
  <c r="F51" i="4"/>
  <c r="K51" i="4"/>
  <c r="D51" i="4"/>
  <c r="L51" i="4"/>
  <c r="J51" i="4"/>
  <c r="H51" i="4"/>
  <c r="E51" i="4"/>
  <c r="G51" i="4"/>
  <c r="M51" i="4"/>
  <c r="D18" i="4"/>
  <c r="H18" i="4"/>
  <c r="L18" i="4"/>
  <c r="G18" i="4"/>
  <c r="M18" i="4"/>
  <c r="N18" i="4"/>
  <c r="N20" i="4" s="1"/>
  <c r="I18" i="4"/>
  <c r="F18" i="4"/>
  <c r="E18" i="4"/>
  <c r="J18" i="4"/>
  <c r="K18" i="4"/>
  <c r="J15" i="4"/>
  <c r="K15" i="4"/>
  <c r="K20" i="4" s="1"/>
  <c r="E15" i="4"/>
  <c r="H15" i="4"/>
  <c r="F15" i="4"/>
  <c r="I15" i="4"/>
  <c r="G15" i="4"/>
  <c r="D15" i="4"/>
  <c r="R64" i="1" l="1"/>
  <c r="O71" i="1"/>
  <c r="E15" i="2" s="1"/>
  <c r="G15" i="2" s="1"/>
  <c r="Q71" i="1"/>
  <c r="E16" i="2" s="1"/>
  <c r="G16" i="2" s="1"/>
  <c r="G37" i="4"/>
  <c r="H54" i="4"/>
  <c r="E37" i="4"/>
  <c r="E20" i="4"/>
  <c r="M37" i="4"/>
  <c r="D72" i="4"/>
  <c r="E72" i="4"/>
  <c r="J20" i="4"/>
  <c r="F20" i="4"/>
  <c r="G20" i="4"/>
  <c r="F54" i="4"/>
  <c r="R70" i="1"/>
  <c r="R71" i="1" s="1"/>
  <c r="F72" i="4"/>
  <c r="E54" i="4"/>
  <c r="D54" i="4"/>
  <c r="F37" i="4"/>
  <c r="D20" i="4"/>
  <c r="J54" i="4"/>
  <c r="I37" i="4"/>
  <c r="J37" i="4"/>
  <c r="D37" i="4"/>
  <c r="N54" i="4"/>
  <c r="M54" i="4"/>
  <c r="I20" i="4"/>
  <c r="H20" i="4"/>
  <c r="L20" i="4"/>
  <c r="K54" i="4"/>
  <c r="I54" i="4"/>
  <c r="G54" i="4"/>
  <c r="N37" i="4"/>
  <c r="M20" i="4"/>
  <c r="L37" i="4"/>
  <c r="K37" i="4"/>
  <c r="H37" i="4"/>
  <c r="L5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00000000-0006-0000-0100-000001000000}">
      <text>
        <r>
          <rPr>
            <b/>
            <sz val="9"/>
            <color indexed="81"/>
            <rFont val="ＭＳ Ｐゴシック"/>
            <family val="3"/>
            <charset val="128"/>
          </rPr>
          <t>特例はH29.4.1以降に退職から廃止</t>
        </r>
      </text>
    </comment>
    <comment ref="J9" authorId="0" shapeId="0" xr:uid="{00000000-0006-0000-0100-000002000000}">
      <text>
        <r>
          <rPr>
            <b/>
            <sz val="9"/>
            <color indexed="81"/>
            <rFont val="ＭＳ Ｐゴシック"/>
            <family val="3"/>
            <charset val="128"/>
          </rPr>
          <t>H27.11.19
本部確認
短期掛金率決定済み</t>
        </r>
      </text>
    </comment>
    <comment ref="K9" authorId="0" shapeId="0" xr:uid="{00000000-0006-0000-0100-000003000000}">
      <text>
        <r>
          <rPr>
            <b/>
            <sz val="9"/>
            <color indexed="81"/>
            <rFont val="ＭＳ Ｐゴシック"/>
            <family val="3"/>
            <charset val="128"/>
          </rPr>
          <t>H27.11.19
本部確認
まだ未定。決定は2月頃になるのではないか
1/12決定10.84</t>
        </r>
      </text>
    </comment>
    <comment ref="M9" authorId="0" shapeId="0" xr:uid="{00000000-0006-0000-0100-000004000000}">
      <text>
        <r>
          <rPr>
            <b/>
            <sz val="9"/>
            <color indexed="81"/>
            <rFont val="ＭＳ Ｐゴシック"/>
            <family val="3"/>
            <charset val="128"/>
          </rPr>
          <t>H28.1.12決定
440,000円</t>
        </r>
      </text>
    </comment>
  </commentList>
</comments>
</file>

<file path=xl/sharedStrings.xml><?xml version="1.0" encoding="utf-8"?>
<sst xmlns="http://schemas.openxmlformats.org/spreadsheetml/2006/main" count="224" uniqueCount="132">
  <si>
    <t>年度</t>
    <rPh sb="0" eb="2">
      <t>ネンド</t>
    </rPh>
    <phoneticPr fontId="1"/>
  </si>
  <si>
    <t>年</t>
    <rPh sb="0" eb="1">
      <t>ネン</t>
    </rPh>
    <phoneticPr fontId="1"/>
  </si>
  <si>
    <t>介護該当</t>
    <rPh sb="0" eb="2">
      <t>カイゴ</t>
    </rPh>
    <rPh sb="2" eb="4">
      <t>ガイトウ</t>
    </rPh>
    <phoneticPr fontId="1"/>
  </si>
  <si>
    <t>任継率</t>
    <rPh sb="0" eb="1">
      <t>ニン</t>
    </rPh>
    <rPh sb="1" eb="2">
      <t>ケイ</t>
    </rPh>
    <rPh sb="2" eb="3">
      <t>リツ</t>
    </rPh>
    <phoneticPr fontId="1"/>
  </si>
  <si>
    <t>介護率</t>
    <rPh sb="0" eb="2">
      <t>カイゴ</t>
    </rPh>
    <rPh sb="2" eb="3">
      <t>リツ</t>
    </rPh>
    <phoneticPr fontId="1"/>
  </si>
  <si>
    <t>掛金基礎</t>
    <rPh sb="0" eb="2">
      <t>カケキン</t>
    </rPh>
    <rPh sb="2" eb="4">
      <t>キソ</t>
    </rPh>
    <phoneticPr fontId="1"/>
  </si>
  <si>
    <t>割引11月</t>
    <rPh sb="0" eb="2">
      <t>ワリビキ</t>
    </rPh>
    <rPh sb="4" eb="5">
      <t>ツキ</t>
    </rPh>
    <phoneticPr fontId="1"/>
  </si>
  <si>
    <t>割引12月</t>
    <rPh sb="4" eb="5">
      <t>ツキ</t>
    </rPh>
    <phoneticPr fontId="1"/>
  </si>
  <si>
    <t>割引5月</t>
    <rPh sb="3" eb="4">
      <t>ツキ</t>
    </rPh>
    <phoneticPr fontId="1"/>
  </si>
  <si>
    <t>割引6月</t>
  </si>
  <si>
    <t>掛金基礎</t>
    <rPh sb="0" eb="2">
      <t>カケキン</t>
    </rPh>
    <rPh sb="2" eb="4">
      <t>キソ</t>
    </rPh>
    <phoneticPr fontId="2"/>
  </si>
  <si>
    <t>任継率（‰）</t>
    <rPh sb="0" eb="1">
      <t>ニン</t>
    </rPh>
    <rPh sb="1" eb="2">
      <t>ケイ</t>
    </rPh>
    <rPh sb="2" eb="3">
      <t>リツ</t>
    </rPh>
    <phoneticPr fontId="2"/>
  </si>
  <si>
    <t>任継掛金月額</t>
    <rPh sb="0" eb="1">
      <t>ニン</t>
    </rPh>
    <rPh sb="1" eb="2">
      <t>ケイ</t>
    </rPh>
    <rPh sb="2" eb="4">
      <t>カケキン</t>
    </rPh>
    <rPh sb="4" eb="6">
      <t>ゲツガク</t>
    </rPh>
    <phoneticPr fontId="2"/>
  </si>
  <si>
    <t>介護率（‰）</t>
    <rPh sb="0" eb="2">
      <t>カイゴ</t>
    </rPh>
    <rPh sb="2" eb="3">
      <t>リツ</t>
    </rPh>
    <phoneticPr fontId="2"/>
  </si>
  <si>
    <t>介護掛金月額</t>
    <rPh sb="0" eb="2">
      <t>カイゴ</t>
    </rPh>
    <rPh sb="2" eb="4">
      <t>カケキン</t>
    </rPh>
    <rPh sb="4" eb="6">
      <t>ゲツガク</t>
    </rPh>
    <phoneticPr fontId="2"/>
  </si>
  <si>
    <t>年</t>
    <rPh sb="0" eb="1">
      <t>ネン</t>
    </rPh>
    <phoneticPr fontId="2"/>
  </si>
  <si>
    <t>2年目</t>
    <rPh sb="1" eb="3">
      <t>ネンメ</t>
    </rPh>
    <phoneticPr fontId="2"/>
  </si>
  <si>
    <t>1年目</t>
    <rPh sb="1" eb="3">
      <t>ネンメ</t>
    </rPh>
    <phoneticPr fontId="2"/>
  </si>
  <si>
    <t>yn</t>
    <phoneticPr fontId="2"/>
  </si>
  <si>
    <t>YES</t>
    <phoneticPr fontId="2"/>
  </si>
  <si>
    <t>NO</t>
    <phoneticPr fontId="2"/>
  </si>
  <si>
    <t>任継率</t>
    <rPh sb="0" eb="1">
      <t>ニン</t>
    </rPh>
    <rPh sb="1" eb="2">
      <t>ケイ</t>
    </rPh>
    <rPh sb="2" eb="3">
      <t>リツ</t>
    </rPh>
    <phoneticPr fontId="2"/>
  </si>
  <si>
    <t>介護率</t>
    <rPh sb="0" eb="2">
      <t>カイゴ</t>
    </rPh>
    <rPh sb="2" eb="3">
      <t>リツ</t>
    </rPh>
    <phoneticPr fontId="2"/>
  </si>
  <si>
    <t>任継年額</t>
    <rPh sb="0" eb="1">
      <t>ニン</t>
    </rPh>
    <rPh sb="1" eb="2">
      <t>ケイ</t>
    </rPh>
    <rPh sb="2" eb="4">
      <t>ネンガク</t>
    </rPh>
    <phoneticPr fontId="2"/>
  </si>
  <si>
    <t>介護年額</t>
    <rPh sb="0" eb="2">
      <t>カイゴ</t>
    </rPh>
    <rPh sb="2" eb="4">
      <t>ネンガク</t>
    </rPh>
    <phoneticPr fontId="2"/>
  </si>
  <si>
    <t>任継前期</t>
    <rPh sb="0" eb="1">
      <t>ニン</t>
    </rPh>
    <rPh sb="1" eb="2">
      <t>ケイ</t>
    </rPh>
    <rPh sb="2" eb="4">
      <t>ゼンキ</t>
    </rPh>
    <phoneticPr fontId="2"/>
  </si>
  <si>
    <t>介護前期</t>
    <rPh sb="0" eb="2">
      <t>カイゴ</t>
    </rPh>
    <rPh sb="2" eb="4">
      <t>ゼンキ</t>
    </rPh>
    <phoneticPr fontId="2"/>
  </si>
  <si>
    <t>任継後期</t>
    <rPh sb="0" eb="1">
      <t>ニン</t>
    </rPh>
    <rPh sb="1" eb="2">
      <t>ケイ</t>
    </rPh>
    <rPh sb="2" eb="4">
      <t>コウキ</t>
    </rPh>
    <phoneticPr fontId="2"/>
  </si>
  <si>
    <t>介護後期</t>
    <rPh sb="0" eb="2">
      <t>カイゴ</t>
    </rPh>
    <rPh sb="2" eb="4">
      <t>コウキ</t>
    </rPh>
    <phoneticPr fontId="2"/>
  </si>
  <si>
    <t>月額</t>
    <rPh sb="0" eb="2">
      <t>ゲツガク</t>
    </rPh>
    <phoneticPr fontId="2"/>
  </si>
  <si>
    <t>　40歳以上65歳未満ですか?</t>
    <rPh sb="3" eb="6">
      <t>サイイジョウ</t>
    </rPh>
    <rPh sb="8" eb="11">
      <t>サイミマン</t>
    </rPh>
    <phoneticPr fontId="2"/>
  </si>
  <si>
    <t>年額</t>
    <rPh sb="0" eb="2">
      <t>ネンガク</t>
    </rPh>
    <phoneticPr fontId="2"/>
  </si>
  <si>
    <t>選択・入力してください</t>
    <rPh sb="0" eb="2">
      <t>センタク</t>
    </rPh>
    <rPh sb="3" eb="5">
      <t>ニュウリョク</t>
    </rPh>
    <phoneticPr fontId="2"/>
  </si>
  <si>
    <t>▼</t>
    <phoneticPr fontId="2"/>
  </si>
  <si>
    <t>年度</t>
    <rPh sb="0" eb="2">
      <t>ネンド</t>
    </rPh>
    <phoneticPr fontId="2"/>
  </si>
  <si>
    <t>　任意継続は1年目 or 2年目?</t>
    <rPh sb="1" eb="3">
      <t>ニンイ</t>
    </rPh>
    <rPh sb="3" eb="5">
      <t>ケイゾク</t>
    </rPh>
    <rPh sb="7" eb="9">
      <t>ネンメ</t>
    </rPh>
    <rPh sb="14" eb="16">
      <t>ネンメ</t>
    </rPh>
    <phoneticPr fontId="2"/>
  </si>
  <si>
    <t>×</t>
    <phoneticPr fontId="2"/>
  </si>
  <si>
    <t>＝</t>
    <phoneticPr fontId="2"/>
  </si>
  <si>
    <t>＋</t>
    <phoneticPr fontId="2"/>
  </si>
  <si>
    <t>西暦</t>
    <rPh sb="0" eb="2">
      <t>セイレキ</t>
    </rPh>
    <phoneticPr fontId="2"/>
  </si>
  <si>
    <t>　計算する年度は?</t>
    <rPh sb="1" eb="3">
      <t>ケイサン</t>
    </rPh>
    <rPh sb="5" eb="7">
      <t>ネンド</t>
    </rPh>
    <phoneticPr fontId="2"/>
  </si>
  <si>
    <t>平成21年度</t>
    <rPh sb="0" eb="2">
      <t>ヘイセイ</t>
    </rPh>
    <rPh sb="4" eb="6">
      <t>ネンド</t>
    </rPh>
    <phoneticPr fontId="2"/>
  </si>
  <si>
    <t>平成22年度</t>
    <rPh sb="0" eb="2">
      <t>ヘイセイ</t>
    </rPh>
    <rPh sb="4" eb="6">
      <t>ネンド</t>
    </rPh>
    <phoneticPr fontId="2"/>
  </si>
  <si>
    <t>平成23年度</t>
    <rPh sb="0" eb="2">
      <t>ヘイセイ</t>
    </rPh>
    <rPh sb="4" eb="6">
      <t>ネンド</t>
    </rPh>
    <phoneticPr fontId="2"/>
  </si>
  <si>
    <t>平成24年度</t>
    <rPh sb="0" eb="2">
      <t>ヘイセイ</t>
    </rPh>
    <rPh sb="4" eb="6">
      <t>ネンド</t>
    </rPh>
    <phoneticPr fontId="2"/>
  </si>
  <si>
    <t>平成25年度</t>
    <rPh sb="0" eb="2">
      <t>ヘイセイ</t>
    </rPh>
    <rPh sb="4" eb="6">
      <t>ネンド</t>
    </rPh>
    <phoneticPr fontId="2"/>
  </si>
  <si>
    <t>平成26年度</t>
    <rPh sb="0" eb="2">
      <t>ヘイセイ</t>
    </rPh>
    <rPh sb="4" eb="6">
      <t>ネンド</t>
    </rPh>
    <phoneticPr fontId="2"/>
  </si>
  <si>
    <t>平成27年度</t>
    <rPh sb="0" eb="2">
      <t>ヘイセイ</t>
    </rPh>
    <rPh sb="4" eb="6">
      <t>ネンド</t>
    </rPh>
    <phoneticPr fontId="2"/>
  </si>
  <si>
    <t>平成28年度</t>
    <rPh sb="0" eb="2">
      <t>ヘイセイ</t>
    </rPh>
    <rPh sb="4" eb="6">
      <t>ネンド</t>
    </rPh>
    <phoneticPr fontId="2"/>
  </si>
  <si>
    <t>平成29年度</t>
    <rPh sb="0" eb="2">
      <t>ヘイセイ</t>
    </rPh>
    <rPh sb="4" eb="6">
      <t>ネンド</t>
    </rPh>
    <phoneticPr fontId="2"/>
  </si>
  <si>
    <t>平成30年度</t>
    <rPh sb="0" eb="2">
      <t>ヘイセイ</t>
    </rPh>
    <rPh sb="4" eb="6">
      <t>ネンド</t>
    </rPh>
    <phoneticPr fontId="2"/>
  </si>
  <si>
    <t>平成31年度</t>
    <rPh sb="0" eb="2">
      <t>ヘイセイ</t>
    </rPh>
    <rPh sb="4" eb="6">
      <t>ネンド</t>
    </rPh>
    <phoneticPr fontId="2"/>
  </si>
  <si>
    <t>　退職時の標準報酬月額</t>
    <rPh sb="1" eb="3">
      <t>タイショク</t>
    </rPh>
    <rPh sb="3" eb="4">
      <t>ジ</t>
    </rPh>
    <rPh sb="5" eb="7">
      <t>ヒョウジュン</t>
    </rPh>
    <rPh sb="7" eb="9">
      <t>ホウシュウ</t>
    </rPh>
    <rPh sb="9" eb="11">
      <t>ゲツガク</t>
    </rPh>
    <phoneticPr fontId="2"/>
  </si>
  <si>
    <t>平均標準報酬</t>
    <rPh sb="0" eb="2">
      <t>ヘイキン</t>
    </rPh>
    <rPh sb="2" eb="4">
      <t>ヒョウジュン</t>
    </rPh>
    <rPh sb="4" eb="6">
      <t>ホウシュウ</t>
    </rPh>
    <phoneticPr fontId="1"/>
  </si>
  <si>
    <t>任意継続組合員を2年間継続する場合、2年目も掛金が必要となりますのでご注意ください。</t>
    <rPh sb="0" eb="2">
      <t>ニンイ</t>
    </rPh>
    <rPh sb="2" eb="4">
      <t>ケイゾク</t>
    </rPh>
    <rPh sb="4" eb="7">
      <t>クミアイイン</t>
    </rPh>
    <rPh sb="9" eb="11">
      <t>ネンカン</t>
    </rPh>
    <rPh sb="11" eb="13">
      <t>ケイゾク</t>
    </rPh>
    <rPh sb="15" eb="17">
      <t>バアイ</t>
    </rPh>
    <rPh sb="19" eb="21">
      <t>ネンメ</t>
    </rPh>
    <rPh sb="22" eb="24">
      <t>カケキン</t>
    </rPh>
    <rPh sb="25" eb="27">
      <t>ヒツヨウ</t>
    </rPh>
    <rPh sb="35" eb="37">
      <t>チュウイ</t>
    </rPh>
    <phoneticPr fontId="2"/>
  </si>
  <si>
    <t>程毎月よりオトク</t>
    <rPh sb="0" eb="1">
      <t>ホド</t>
    </rPh>
    <rPh sb="1" eb="3">
      <t>マイツキ</t>
    </rPh>
    <phoneticPr fontId="2"/>
  </si>
  <si>
    <t>平均標準報酬</t>
    <rPh sb="0" eb="2">
      <t>ヘイキン</t>
    </rPh>
    <rPh sb="2" eb="4">
      <t>ヒョウジュン</t>
    </rPh>
    <rPh sb="4" eb="6">
      <t>ホウシュウ</t>
    </rPh>
    <phoneticPr fontId="2"/>
  </si>
  <si>
    <t>退職月標準報酬</t>
    <rPh sb="0" eb="2">
      <t>タイショク</t>
    </rPh>
    <rPh sb="2" eb="3">
      <t>ツキ</t>
    </rPh>
    <rPh sb="3" eb="5">
      <t>ヒョウジュン</t>
    </rPh>
    <rPh sb="5" eb="7">
      <t>ホウシュウ</t>
    </rPh>
    <phoneticPr fontId="1"/>
  </si>
  <si>
    <t>・</t>
    <phoneticPr fontId="2"/>
  </si>
  <si>
    <t>・</t>
    <phoneticPr fontId="2"/>
  </si>
  <si>
    <t>任意継続掛金試算</t>
    <rPh sb="0" eb="2">
      <t>ニンイ</t>
    </rPh>
    <rPh sb="2" eb="4">
      <t>ケイゾク</t>
    </rPh>
    <rPh sb="4" eb="6">
      <t>カケキン</t>
    </rPh>
    <rPh sb="6" eb="8">
      <t>シサン</t>
    </rPh>
    <phoneticPr fontId="2"/>
  </si>
  <si>
    <t>　　割引適用なし</t>
    <rPh sb="2" eb="4">
      <t>ワリビキ</t>
    </rPh>
    <rPh sb="4" eb="6">
      <t>テキヨウ</t>
    </rPh>
    <phoneticPr fontId="2"/>
  </si>
  <si>
    <t>令和2年度</t>
    <rPh sb="0" eb="2">
      <t>レイワ</t>
    </rPh>
    <rPh sb="3" eb="5">
      <t>ネンド</t>
    </rPh>
    <phoneticPr fontId="2"/>
  </si>
  <si>
    <t>令和3年度</t>
    <rPh sb="0" eb="2">
      <t>レイワ</t>
    </rPh>
    <rPh sb="3" eb="5">
      <t>ネンド</t>
    </rPh>
    <phoneticPr fontId="2"/>
  </si>
  <si>
    <r>
      <t>　年払い</t>
    </r>
    <r>
      <rPr>
        <sz val="9"/>
        <color indexed="8"/>
        <rFont val="ＭＳ Ｐゴシック"/>
        <family val="3"/>
        <charset val="128"/>
      </rPr>
      <t>（割引適用）</t>
    </r>
    <rPh sb="1" eb="2">
      <t>ネン</t>
    </rPh>
    <rPh sb="2" eb="3">
      <t>バラ</t>
    </rPh>
    <rPh sb="5" eb="7">
      <t>ワリビキ</t>
    </rPh>
    <rPh sb="7" eb="9">
      <t>テキヨウ</t>
    </rPh>
    <phoneticPr fontId="2"/>
  </si>
  <si>
    <r>
      <t>　半期払い</t>
    </r>
    <r>
      <rPr>
        <sz val="9"/>
        <color indexed="8"/>
        <rFont val="ＭＳ Ｐゴシック"/>
        <family val="3"/>
        <charset val="128"/>
      </rPr>
      <t>（割引適用）</t>
    </r>
    <rPh sb="1" eb="3">
      <t>ハンキ</t>
    </rPh>
    <rPh sb="3" eb="4">
      <t>バラ</t>
    </rPh>
    <phoneticPr fontId="2"/>
  </si>
  <si>
    <t>加入年月日</t>
    <rPh sb="0" eb="2">
      <t>カニュウ</t>
    </rPh>
    <rPh sb="2" eb="5">
      <t>ネンガッピ</t>
    </rPh>
    <phoneticPr fontId="2"/>
  </si>
  <si>
    <t>加入期間</t>
    <rPh sb="0" eb="2">
      <t>カニュウ</t>
    </rPh>
    <rPh sb="2" eb="4">
      <t>キカン</t>
    </rPh>
    <phoneticPr fontId="1"/>
  </si>
  <si>
    <t>令和5年度</t>
    <rPh sb="0" eb="2">
      <t>レイワ</t>
    </rPh>
    <rPh sb="3" eb="5">
      <t>ネンド</t>
    </rPh>
    <phoneticPr fontId="2"/>
  </si>
  <si>
    <t>令和6年度</t>
    <rPh sb="0" eb="2">
      <t>レイワ</t>
    </rPh>
    <rPh sb="3" eb="5">
      <t>ネンド</t>
    </rPh>
    <phoneticPr fontId="2"/>
  </si>
  <si>
    <t>令和7年度</t>
    <rPh sb="0" eb="2">
      <t>レイワ</t>
    </rPh>
    <rPh sb="3" eb="5">
      <t>ネンド</t>
    </rPh>
    <phoneticPr fontId="2"/>
  </si>
  <si>
    <t>令和8年度</t>
    <rPh sb="0" eb="2">
      <t>レイワ</t>
    </rPh>
    <rPh sb="3" eb="5">
      <t>ネンド</t>
    </rPh>
    <phoneticPr fontId="2"/>
  </si>
  <si>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</si>
  <si>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</si>
  <si>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</si>
  <si>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</si>
  <si>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</si>
  <si>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令和14年度</t>
    <rPh sb="0" eb="2">
      <t>レイワ</t>
    </rPh>
    <rPh sb="4" eb="6">
      <t>ネンド</t>
    </rPh>
    <phoneticPr fontId="2"/>
  </si>
  <si>
    <t>令和15年度</t>
    <rPh sb="0" eb="2">
      <t>レイワ</t>
    </rPh>
    <rPh sb="4" eb="6">
      <t>ネンド</t>
    </rPh>
    <phoneticPr fontId="2"/>
  </si>
  <si>
    <t>令和16年度</t>
    <rPh sb="0" eb="2">
      <t>レイワ</t>
    </rPh>
    <rPh sb="4" eb="6">
      <t>ネンド</t>
    </rPh>
    <phoneticPr fontId="2"/>
  </si>
  <si>
    <t>令和17年度</t>
    <rPh sb="0" eb="2">
      <t>レイワ</t>
    </rPh>
    <rPh sb="4" eb="6">
      <t>ネンド</t>
    </rPh>
    <phoneticPr fontId="2"/>
  </si>
  <si>
    <t>年度末日</t>
    <rPh sb="0" eb="2">
      <t>ネンド</t>
    </rPh>
    <rPh sb="3" eb="4">
      <t>ビ</t>
    </rPh>
    <phoneticPr fontId="2"/>
  </si>
  <si>
    <t>加入日</t>
    <rPh sb="0" eb="2">
      <t>カニュウ</t>
    </rPh>
    <rPh sb="2" eb="3">
      <t>ビ</t>
    </rPh>
    <phoneticPr fontId="1"/>
  </si>
  <si>
    <t>年度末までの加入月数</t>
    <rPh sb="0" eb="3">
      <t>ネンドマツ</t>
    </rPh>
    <rPh sb="6" eb="8">
      <t>カニュウ</t>
    </rPh>
    <rPh sb="8" eb="10">
      <t>ツキスウ</t>
    </rPh>
    <phoneticPr fontId="2"/>
  </si>
  <si>
    <r>
      <t>　毎月払い</t>
    </r>
    <r>
      <rPr>
        <sz val="9"/>
        <color indexed="8"/>
        <rFont val="ＭＳ Ｐゴシック"/>
        <family val="3"/>
        <charset val="128"/>
      </rPr>
      <t>（月額×加入月数）</t>
    </r>
    <rPh sb="1" eb="3">
      <t>マイツキ</t>
    </rPh>
    <rPh sb="3" eb="4">
      <t>バラ</t>
    </rPh>
    <rPh sb="6" eb="8">
      <t>ゲツガク</t>
    </rPh>
    <phoneticPr fontId="2"/>
  </si>
  <si>
    <t>A</t>
    <phoneticPr fontId="2"/>
  </si>
  <si>
    <t>B</t>
    <phoneticPr fontId="2"/>
  </si>
  <si>
    <t>令和4年度(4-9)</t>
    <rPh sb="0" eb="2">
      <t>レイワ</t>
    </rPh>
    <rPh sb="3" eb="5">
      <t>ネンド</t>
    </rPh>
    <phoneticPr fontId="2"/>
  </si>
  <si>
    <t>令和4年度(10-3)</t>
    <rPh sb="0" eb="2">
      <t>レイワ</t>
    </rPh>
    <rPh sb="3" eb="5">
      <t>ネンド</t>
    </rPh>
    <phoneticPr fontId="2"/>
  </si>
  <si>
    <t>(4月-9月）</t>
    <rPh sb="2" eb="3">
      <t>ツキ</t>
    </rPh>
    <rPh sb="5" eb="6">
      <t>ツキ</t>
    </rPh>
    <phoneticPr fontId="2"/>
  </si>
  <si>
    <t>(10月-3月）</t>
    <rPh sb="3" eb="4">
      <t>ツキ</t>
    </rPh>
    <rPh sb="6" eb="7">
      <t>ツキ</t>
    </rPh>
    <phoneticPr fontId="2"/>
  </si>
  <si>
    <t>年払い</t>
    <rPh sb="0" eb="1">
      <t>ネン</t>
    </rPh>
    <rPh sb="1" eb="2">
      <t>ハラ</t>
    </rPh>
    <phoneticPr fontId="2"/>
  </si>
  <si>
    <t>半期払い</t>
    <rPh sb="0" eb="2">
      <t>ハンキ</t>
    </rPh>
    <rPh sb="2" eb="3">
      <t>バラ</t>
    </rPh>
    <phoneticPr fontId="2"/>
  </si>
  <si>
    <t>掛金額</t>
    <rPh sb="0" eb="2">
      <t>カケキン</t>
    </rPh>
    <rPh sb="2" eb="3">
      <t>ガク</t>
    </rPh>
    <phoneticPr fontId="2"/>
  </si>
  <si>
    <t>B率</t>
    <rPh sb="1" eb="2">
      <t>リツ</t>
    </rPh>
    <phoneticPr fontId="2"/>
  </si>
  <si>
    <t>年払い</t>
    <rPh sb="0" eb="2">
      <t>ネンバラ</t>
    </rPh>
    <phoneticPr fontId="2"/>
  </si>
  <si>
    <t>毎月払い</t>
    <rPh sb="0" eb="2">
      <t>マイツキ</t>
    </rPh>
    <rPh sb="2" eb="3">
      <t>ハラ</t>
    </rPh>
    <phoneticPr fontId="2"/>
  </si>
  <si>
    <t>前納掛金額(掛金額×B率)</t>
    <rPh sb="6" eb="8">
      <t>カケキン</t>
    </rPh>
    <rPh sb="8" eb="9">
      <t>ガク</t>
    </rPh>
    <rPh sb="11" eb="12">
      <t>リツ</t>
    </rPh>
    <phoneticPr fontId="2"/>
  </si>
  <si>
    <t>1年目</t>
    <rPh sb="1" eb="3">
      <t>ネンメ</t>
    </rPh>
    <phoneticPr fontId="6"/>
  </si>
  <si>
    <t>年払い</t>
    <rPh sb="0" eb="2">
      <t>ネンバラ</t>
    </rPh>
    <phoneticPr fontId="6"/>
  </si>
  <si>
    <t>4月加入</t>
    <rPh sb="1" eb="2">
      <t>ガツ</t>
    </rPh>
    <rPh sb="2" eb="4">
      <t>カニュウ</t>
    </rPh>
    <phoneticPr fontId="6"/>
  </si>
  <si>
    <t>5月加入</t>
    <rPh sb="1" eb="2">
      <t>ガツ</t>
    </rPh>
    <rPh sb="2" eb="4">
      <t>カニュウ</t>
    </rPh>
    <phoneticPr fontId="6"/>
  </si>
  <si>
    <t>6月加入</t>
    <rPh sb="1" eb="2">
      <t>ガツ</t>
    </rPh>
    <rPh sb="2" eb="4">
      <t>カニュウ</t>
    </rPh>
    <phoneticPr fontId="6"/>
  </si>
  <si>
    <t>7月加入</t>
    <rPh sb="1" eb="2">
      <t>ガツ</t>
    </rPh>
    <rPh sb="2" eb="4">
      <t>カニュウ</t>
    </rPh>
    <phoneticPr fontId="6"/>
  </si>
  <si>
    <t>8月加入</t>
    <rPh sb="1" eb="2">
      <t>ガツ</t>
    </rPh>
    <rPh sb="2" eb="4">
      <t>カニュウ</t>
    </rPh>
    <phoneticPr fontId="6"/>
  </si>
  <si>
    <t>9月加入</t>
    <rPh sb="1" eb="2">
      <t>ガツ</t>
    </rPh>
    <rPh sb="2" eb="4">
      <t>カニュウ</t>
    </rPh>
    <phoneticPr fontId="6"/>
  </si>
  <si>
    <t>10月加入</t>
    <rPh sb="2" eb="3">
      <t>ガツ</t>
    </rPh>
    <rPh sb="3" eb="5">
      <t>カニュウ</t>
    </rPh>
    <phoneticPr fontId="6"/>
  </si>
  <si>
    <t>11月加入</t>
    <rPh sb="2" eb="3">
      <t>ガツ</t>
    </rPh>
    <rPh sb="3" eb="5">
      <t>カニュウ</t>
    </rPh>
    <phoneticPr fontId="6"/>
  </si>
  <si>
    <t>12月加入</t>
    <rPh sb="2" eb="3">
      <t>ガツ</t>
    </rPh>
    <rPh sb="3" eb="5">
      <t>カニュウ</t>
    </rPh>
    <phoneticPr fontId="6"/>
  </si>
  <si>
    <t>1月加入</t>
    <rPh sb="1" eb="2">
      <t>ガツ</t>
    </rPh>
    <rPh sb="2" eb="4">
      <t>カニュウ</t>
    </rPh>
    <phoneticPr fontId="6"/>
  </si>
  <si>
    <t>2月加入</t>
    <rPh sb="1" eb="2">
      <t>ガツ</t>
    </rPh>
    <rPh sb="2" eb="4">
      <t>カニュウ</t>
    </rPh>
    <phoneticPr fontId="6"/>
  </si>
  <si>
    <t>3月加入</t>
    <rPh sb="1" eb="2">
      <t>ガツ</t>
    </rPh>
    <rPh sb="2" eb="4">
      <t>カニュウ</t>
    </rPh>
    <phoneticPr fontId="6"/>
  </si>
  <si>
    <t>月額掛金</t>
    <rPh sb="0" eb="1">
      <t>ガツ</t>
    </rPh>
    <rPh sb="1" eb="2">
      <t>ガク</t>
    </rPh>
    <rPh sb="2" eb="4">
      <t>カケキン</t>
    </rPh>
    <phoneticPr fontId="6"/>
  </si>
  <si>
    <t>2年目</t>
    <rPh sb="1" eb="3">
      <t>ネンメ</t>
    </rPh>
    <phoneticPr fontId="6"/>
  </si>
  <si>
    <t>半期払い</t>
    <rPh sb="0" eb="2">
      <t>ハンキ</t>
    </rPh>
    <rPh sb="2" eb="3">
      <t>バラ</t>
    </rPh>
    <phoneticPr fontId="6"/>
  </si>
  <si>
    <t>合計</t>
    <rPh sb="0" eb="2">
      <t>ゴウケイ</t>
    </rPh>
    <phoneticPr fontId="6"/>
  </si>
  <si>
    <t>【年払い】</t>
    <rPh sb="1" eb="3">
      <t>ネンバラ</t>
    </rPh>
    <phoneticPr fontId="6"/>
  </si>
  <si>
    <t>【半期払い】</t>
    <rPh sb="1" eb="3">
      <t>ハンキ</t>
    </rPh>
    <rPh sb="3" eb="4">
      <t>バラ</t>
    </rPh>
    <phoneticPr fontId="6"/>
  </si>
  <si>
    <t>基礎額</t>
    <rPh sb="0" eb="2">
      <t>キソ</t>
    </rPh>
    <rPh sb="2" eb="3">
      <t>ガク</t>
    </rPh>
    <phoneticPr fontId="6"/>
  </si>
  <si>
    <t>任継率（‰）</t>
    <phoneticPr fontId="6"/>
  </si>
  <si>
    <t>介護率（‰）</t>
    <phoneticPr fontId="6"/>
  </si>
  <si>
    <t>【毎月払い】</t>
    <rPh sb="1" eb="3">
      <t>マイツキ</t>
    </rPh>
    <rPh sb="3" eb="4">
      <t>バラ</t>
    </rPh>
    <phoneticPr fontId="6"/>
  </si>
  <si>
    <t>【2年目】</t>
    <rPh sb="2" eb="4">
      <t>ネンメ</t>
    </rPh>
    <phoneticPr fontId="6"/>
  </si>
  <si>
    <t>毎月払い</t>
    <rPh sb="0" eb="2">
      <t>マイツキ</t>
    </rPh>
    <rPh sb="2" eb="3">
      <t>ハラ</t>
    </rPh>
    <phoneticPr fontId="6"/>
  </si>
  <si>
    <t>『#N/A』が表示されるときは、入力内容をご確認ください。</t>
    <phoneticPr fontId="2"/>
  </si>
  <si>
    <r>
      <t>上記の計算は、</t>
    </r>
    <r>
      <rPr>
        <b/>
        <sz val="11"/>
        <color indexed="10"/>
        <rFont val="ＭＳ Ｐゴシック"/>
        <family val="3"/>
        <charset val="128"/>
      </rPr>
      <t>任意継続組合員に加入した月から加入した月の属する年度の年度末（3月）までの年額です。</t>
    </r>
    <rPh sb="19" eb="20">
      <t>ツキ</t>
    </rPh>
    <rPh sb="22" eb="24">
      <t>カニュウ</t>
    </rPh>
    <rPh sb="26" eb="27">
      <t>ツキ</t>
    </rPh>
    <rPh sb="28" eb="29">
      <t>ゾク</t>
    </rPh>
    <rPh sb="31" eb="32">
      <t>トシ</t>
    </rPh>
    <rPh sb="32" eb="33">
      <t>ド</t>
    </rPh>
    <rPh sb="34" eb="36">
      <t>ネンド</t>
    </rPh>
    <rPh sb="36" eb="37">
      <t>マツ</t>
    </rPh>
    <phoneticPr fontId="2"/>
  </si>
  <si>
    <t>月　額</t>
    <rPh sb="0" eb="1">
      <t>ツキ</t>
    </rPh>
    <rPh sb="2" eb="3">
      <t>ガク</t>
    </rPh>
    <phoneticPr fontId="2"/>
  </si>
  <si>
    <t>年　額</t>
    <rPh sb="0" eb="1">
      <t>トシ</t>
    </rPh>
    <rPh sb="2" eb="3">
      <t>ガク</t>
    </rPh>
    <phoneticPr fontId="2"/>
  </si>
  <si>
    <t>令和7年度</t>
    <phoneticPr fontId="2"/>
  </si>
  <si>
    <t>子ども率</t>
    <rPh sb="0" eb="1">
      <t>コ</t>
    </rPh>
    <rPh sb="3" eb="4">
      <t>リツ</t>
    </rPh>
    <phoneticPr fontId="2"/>
  </si>
  <si>
    <t>子ども率</t>
    <rPh sb="0" eb="1">
      <t>コ</t>
    </rPh>
    <rPh sb="3" eb="4">
      <t>リツ</t>
    </rPh>
    <phoneticPr fontId="1"/>
  </si>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</sst>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quot;¥&quot;\-#,##0"/>
    <numFmt numFmtId="176" formatCode="#,##0;&quot;▲ &quot;#,##0"/>
    <numFmt numFmtId="177" formatCode="#,##0.0000;&quot;▲ &quot;#,##0.0000"/>
    <numFmt numFmtId="178" formatCode="#,##0.0000000;&quot;▲ &quot;#,##0.0000000"/>
    <numFmt numFmtId="179" formatCode="#,##0.00000000;&quot;▲ &quot;#,##0.00000000"/>
    <numFmt numFmtId="180" formatCode="[$-411]ge\.m\.d;@"/>
    <numFmt numFmtId="181" formatCode="&quot;¥&quot;#,##0_);[Red]\(&quot;¥&quot;#,##0\)"/>
    <numFmt numFmtId="182" formatCode="#,##0.000000;&quot;▲ &quot;#,##0.000000"/>
    <numFmt numFmtId="183" formatCode="&quot;割引&quot;General&quot;月&quot;"/>
    <numFmt numFmtId="184" formatCode="General&quot;ヵ月&quot;"/>
    <numFmt numFmtId="185" formatCode="[$-411]ggge&quot;年&quot;m&quot;月&quot;"/>
    <numFmt numFmtId="186" formatCode="0.00_ "/>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b/>
      <sz val="9"/>
      <color indexed="81"/>
      <name val="ＭＳ Ｐゴシック"/>
      <family val="3"/>
      <charset val="128"/>
    </font>
    <font>
      <b/>
      <sz val="11"/>
      <color indexed="10"/>
      <name val="ＭＳ Ｐゴシック"/>
      <family val="3"/>
      <charset val="128"/>
    </font>
    <font>
      <sz val="6"/>
      <name val="ＭＳ Ｐゴシック"/>
      <family val="3"/>
      <charset val="128"/>
    </font>
    <font>
      <sz val="11"/>
      <color theme="1"/>
      <name val="ＭＳ Ｐゴシック"/>
      <family val="3"/>
      <charset val="128"/>
      <scheme val="minor"/>
    </font>
    <font>
      <b/>
      <sz val="11"/>
      <color theme="0"/>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1"/>
      <color theme="1" tint="0.499984740745262"/>
      <name val="ＭＳ Ｐゴシック"/>
      <family val="3"/>
      <charset val="128"/>
      <scheme val="minor"/>
    </font>
    <font>
      <b/>
      <sz val="11"/>
      <name val="ＭＳ Ｐゴシック"/>
      <family val="3"/>
      <charset val="128"/>
      <scheme val="minor"/>
    </font>
    <font>
      <sz val="8"/>
      <color theme="1" tint="0.499984740745262"/>
      <name val="ＭＳ Ｐゴシック"/>
      <family val="3"/>
      <charset val="128"/>
      <scheme val="minor"/>
    </font>
    <font>
      <b/>
      <sz val="11"/>
      <color rgb="FFFF0000"/>
      <name val="ＭＳ Ｐゴシック"/>
      <family val="3"/>
      <charset val="128"/>
      <scheme val="minor"/>
    </font>
    <font>
      <b/>
      <sz val="11"/>
      <color rgb="FF0070C0"/>
      <name val="ＭＳ Ｐゴシック"/>
      <family val="3"/>
      <charset val="128"/>
      <scheme val="minor"/>
    </font>
    <font>
      <b/>
      <sz val="11"/>
      <color theme="1" tint="0.499984740745262"/>
      <name val="ＭＳ Ｐゴシック"/>
      <family val="3"/>
      <charset val="128"/>
      <scheme val="minor"/>
    </font>
    <font>
      <sz val="14"/>
      <color theme="1"/>
      <name val="HGP創英角ｺﾞｼｯｸUB"/>
      <family val="3"/>
      <charset val="128"/>
    </font>
    <font>
      <sz val="14"/>
      <color theme="1"/>
      <name val="HGS創英角ｺﾞｼｯｸUB"/>
      <family val="3"/>
      <charset val="128"/>
    </font>
    <font>
      <sz val="11"/>
      <name val="ＭＳ Ｐゴシック"/>
      <family val="3"/>
      <charset val="128"/>
      <scheme val="minor"/>
    </font>
    <font>
      <b/>
      <sz val="16"/>
      <color theme="1"/>
      <name val="ＭＳ Ｐゴシック"/>
      <family val="3"/>
      <charset val="128"/>
      <scheme val="minor"/>
    </font>
    <font>
      <b/>
      <u/>
      <sz val="12"/>
      <color rgb="FFFF0000"/>
      <name val="ＭＳ Ｐゴシック"/>
      <family val="3"/>
      <charset val="128"/>
      <scheme val="minor"/>
    </font>
    <font>
      <b/>
      <sz val="9"/>
      <color theme="1"/>
      <name val="ＭＳ Ｐゴシック"/>
      <family val="3"/>
      <charset val="128"/>
      <scheme val="minor"/>
    </font>
    <font>
      <sz val="9"/>
      <color theme="1" tint="0.499984740745262"/>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b/>
      <sz val="12"/>
      <color theme="0"/>
      <name val="ＭＳ Ｐゴシック"/>
      <family val="3"/>
      <charset val="128"/>
      <scheme val="minor"/>
    </font>
  </fonts>
  <fills count="7">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1" tint="0.249977111117893"/>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style="hair">
        <color indexed="64"/>
      </top>
      <bottom style="hair">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ck">
        <color indexed="64"/>
      </left>
      <right/>
      <top style="thick">
        <color indexed="64"/>
      </top>
      <bottom/>
      <diagonal/>
    </border>
    <border>
      <left/>
      <right style="thin">
        <color indexed="64"/>
      </right>
      <top style="thick">
        <color indexed="64"/>
      </top>
      <bottom/>
      <diagonal/>
    </border>
    <border>
      <left style="thick">
        <color indexed="64"/>
      </left>
      <right/>
      <top/>
      <bottom/>
      <diagonal/>
    </border>
    <border>
      <left/>
      <right style="thin">
        <color indexed="64"/>
      </right>
      <top/>
      <bottom/>
      <diagonal/>
    </border>
    <border>
      <left style="thick">
        <color indexed="64"/>
      </left>
      <right/>
      <top/>
      <bottom style="thick">
        <color indexed="64"/>
      </bottom>
      <diagonal/>
    </border>
    <border>
      <left/>
      <right style="thin">
        <color indexed="64"/>
      </right>
      <top/>
      <bottom style="thick">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bottom style="thick">
        <color rgb="FFFF0000"/>
      </bottom>
      <diagonal/>
    </border>
    <border>
      <left style="thin">
        <color indexed="64"/>
      </left>
      <right style="thin">
        <color indexed="64"/>
      </right>
      <top style="thick">
        <color rgb="FFFF0000"/>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34">
    <xf numFmtId="0" fontId="0" fillId="0" borderId="0" xfId="0">
      <alignment vertical="center"/>
    </xf>
    <xf numFmtId="0" fontId="10" fillId="2" borderId="43" xfId="0" applyFont="1" applyFill="1" applyBorder="1" applyAlignment="1" applyProtection="1">
      <alignment horizontal="center" vertical="center" shrinkToFit="1"/>
      <protection locked="0"/>
    </xf>
    <xf numFmtId="0" fontId="10" fillId="2" borderId="44" xfId="0" applyFont="1" applyFill="1" applyBorder="1" applyAlignment="1" applyProtection="1">
      <alignment horizontal="center" vertical="center" shrinkToFit="1"/>
      <protection locked="0"/>
    </xf>
    <xf numFmtId="176" fontId="11" fillId="0" borderId="1" xfId="0" applyNumberFormat="1" applyFont="1" applyFill="1" applyBorder="1" applyAlignment="1" applyProtection="1">
      <alignment vertical="center" shrinkToFit="1"/>
    </xf>
    <xf numFmtId="176" fontId="11" fillId="0" borderId="1" xfId="0" applyNumberFormat="1" applyFont="1" applyBorder="1" applyAlignment="1" applyProtection="1">
      <alignment vertical="center" shrinkToFit="1"/>
    </xf>
    <xf numFmtId="0" fontId="11" fillId="0" borderId="1" xfId="0" applyNumberFormat="1" applyFont="1" applyBorder="1" applyAlignment="1" applyProtection="1">
      <alignment vertical="center" shrinkToFit="1"/>
    </xf>
    <xf numFmtId="176" fontId="11" fillId="0" borderId="0" xfId="0" applyNumberFormat="1" applyFont="1" applyAlignment="1" applyProtection="1">
      <alignment vertical="center" shrinkToFit="1"/>
    </xf>
    <xf numFmtId="176" fontId="11" fillId="0" borderId="1" xfId="0" applyNumberFormat="1" applyFont="1" applyBorder="1" applyAlignment="1" applyProtection="1">
      <alignment horizontal="center" vertical="center" shrinkToFit="1"/>
    </xf>
    <xf numFmtId="177" fontId="11" fillId="0" borderId="0" xfId="0" applyNumberFormat="1" applyFont="1" applyAlignment="1" applyProtection="1">
      <alignment vertical="center" shrinkToFit="1"/>
    </xf>
    <xf numFmtId="0" fontId="11" fillId="0" borderId="1" xfId="0" applyNumberFormat="1" applyFont="1" applyBorder="1" applyAlignment="1" applyProtection="1">
      <alignment horizontal="center" vertical="center" shrinkToFit="1"/>
    </xf>
    <xf numFmtId="176" fontId="11" fillId="3" borderId="1" xfId="0" applyNumberFormat="1" applyFont="1" applyFill="1" applyBorder="1" applyAlignment="1" applyProtection="1">
      <alignment horizontal="center" vertical="center" shrinkToFit="1"/>
    </xf>
    <xf numFmtId="177" fontId="12" fillId="2" borderId="1" xfId="0" applyNumberFormat="1" applyFont="1" applyFill="1" applyBorder="1" applyAlignment="1" applyProtection="1">
      <alignment vertical="center" shrinkToFit="1"/>
    </xf>
    <xf numFmtId="176" fontId="12" fillId="2" borderId="1" xfId="0" applyNumberFormat="1" applyFont="1" applyFill="1" applyBorder="1" applyAlignment="1" applyProtection="1">
      <alignment vertical="center" shrinkToFit="1"/>
    </xf>
    <xf numFmtId="0" fontId="11" fillId="0" borderId="1" xfId="0" applyNumberFormat="1" applyFont="1" applyFill="1" applyBorder="1" applyAlignment="1" applyProtection="1">
      <alignment horizontal="center" vertical="center" shrinkToFit="1"/>
    </xf>
    <xf numFmtId="177" fontId="11" fillId="0" borderId="1" xfId="0" applyNumberFormat="1" applyFont="1" applyFill="1" applyBorder="1" applyAlignment="1" applyProtection="1">
      <alignment vertical="center" shrinkToFit="1"/>
    </xf>
    <xf numFmtId="179" fontId="11" fillId="0" borderId="1" xfId="0" applyNumberFormat="1" applyFont="1" applyBorder="1" applyAlignment="1" applyProtection="1">
      <alignment vertical="center" shrinkToFit="1"/>
    </xf>
    <xf numFmtId="176" fontId="13" fillId="0" borderId="0" xfId="0" applyNumberFormat="1" applyFont="1" applyAlignment="1" applyProtection="1">
      <alignment horizontal="center" shrinkToFit="1"/>
    </xf>
    <xf numFmtId="176" fontId="11" fillId="0" borderId="0" xfId="0" applyNumberFormat="1" applyFont="1" applyAlignment="1" applyProtection="1">
      <alignment horizontal="center" vertical="center" shrinkToFit="1"/>
    </xf>
    <xf numFmtId="179" fontId="11" fillId="0" borderId="0" xfId="0" applyNumberFormat="1" applyFont="1" applyAlignment="1" applyProtection="1">
      <alignment vertical="center" shrinkToFit="1"/>
    </xf>
    <xf numFmtId="176" fontId="9" fillId="2" borderId="1" xfId="0" applyNumberFormat="1" applyFont="1" applyFill="1" applyBorder="1" applyAlignment="1" applyProtection="1">
      <alignment vertical="center" shrinkToFit="1"/>
    </xf>
    <xf numFmtId="177" fontId="14" fillId="2" borderId="1" xfId="0" applyNumberFormat="1" applyFont="1" applyFill="1" applyBorder="1" applyAlignment="1" applyProtection="1">
      <alignment vertical="center" shrinkToFit="1"/>
    </xf>
    <xf numFmtId="176" fontId="14" fillId="2" borderId="1" xfId="0" applyNumberFormat="1" applyFont="1" applyFill="1" applyBorder="1" applyAlignment="1" applyProtection="1">
      <alignment vertical="center" shrinkToFit="1"/>
    </xf>
    <xf numFmtId="176" fontId="11" fillId="0" borderId="2" xfId="0" applyNumberFormat="1" applyFont="1" applyFill="1" applyBorder="1" applyAlignment="1" applyProtection="1">
      <alignment vertical="center" shrinkToFit="1"/>
    </xf>
    <xf numFmtId="176" fontId="11" fillId="0" borderId="0" xfId="0" applyNumberFormat="1" applyFont="1" applyFill="1" applyBorder="1" applyAlignment="1" applyProtection="1">
      <alignment vertical="center" shrinkToFit="1"/>
    </xf>
    <xf numFmtId="177" fontId="9" fillId="2" borderId="1" xfId="0" applyNumberFormat="1" applyFont="1" applyFill="1" applyBorder="1" applyAlignment="1" applyProtection="1">
      <alignment vertical="center" shrinkToFit="1"/>
    </xf>
    <xf numFmtId="182" fontId="11" fillId="0" borderId="0" xfId="0" applyNumberFormat="1" applyFont="1" applyAlignment="1" applyProtection="1">
      <alignment vertical="center" shrinkToFit="1"/>
    </xf>
    <xf numFmtId="178" fontId="11" fillId="0" borderId="0" xfId="0" applyNumberFormat="1" applyFont="1" applyAlignment="1" applyProtection="1">
      <alignment vertical="center" shrinkToFit="1"/>
    </xf>
    <xf numFmtId="5" fontId="10" fillId="2" borderId="43" xfId="0" applyNumberFormat="1" applyFont="1" applyFill="1" applyBorder="1" applyAlignment="1" applyProtection="1">
      <alignment horizontal="right" vertical="center" indent="1" shrinkToFit="1"/>
      <protection locked="0"/>
    </xf>
    <xf numFmtId="14" fontId="11" fillId="3" borderId="1" xfId="0" applyNumberFormat="1" applyFont="1" applyFill="1" applyBorder="1" applyAlignment="1" applyProtection="1">
      <alignment horizontal="center" vertical="center" shrinkToFit="1"/>
    </xf>
    <xf numFmtId="183" fontId="13" fillId="0" borderId="0" xfId="0" applyNumberFormat="1" applyFont="1" applyAlignment="1" applyProtection="1">
      <alignment horizontal="center" shrinkToFit="1"/>
    </xf>
    <xf numFmtId="14" fontId="11" fillId="0" borderId="0" xfId="0" applyNumberFormat="1" applyFont="1" applyAlignment="1" applyProtection="1">
      <alignment vertical="center" shrinkToFit="1"/>
    </xf>
    <xf numFmtId="14" fontId="11" fillId="0" borderId="1" xfId="0" applyNumberFormat="1" applyFont="1" applyBorder="1" applyAlignment="1" applyProtection="1">
      <alignment vertical="center" shrinkToFit="1"/>
    </xf>
    <xf numFmtId="180" fontId="10" fillId="2" borderId="45" xfId="0" applyNumberFormat="1" applyFont="1" applyFill="1" applyBorder="1" applyAlignment="1" applyProtection="1">
      <alignment horizontal="center" vertical="center" shrinkToFit="1"/>
      <protection locked="0"/>
    </xf>
    <xf numFmtId="177" fontId="15" fillId="2" borderId="1" xfId="0" applyNumberFormat="1" applyFont="1" applyFill="1" applyBorder="1" applyAlignment="1" applyProtection="1">
      <alignment vertical="center" shrinkToFit="1"/>
    </xf>
    <xf numFmtId="0" fontId="11" fillId="0" borderId="0" xfId="0" applyNumberFormat="1" applyFont="1" applyAlignment="1" applyProtection="1">
      <alignment horizontal="right" vertical="center" shrinkToFit="1"/>
    </xf>
    <xf numFmtId="176" fontId="11" fillId="0" borderId="3" xfId="0" applyNumberFormat="1" applyFont="1" applyBorder="1" applyAlignment="1" applyProtection="1">
      <alignment vertical="center" shrinkToFit="1"/>
    </xf>
    <xf numFmtId="177" fontId="11" fillId="0" borderId="3" xfId="0" applyNumberFormat="1" applyFont="1" applyBorder="1" applyAlignment="1" applyProtection="1">
      <alignment vertical="center" shrinkToFit="1"/>
    </xf>
    <xf numFmtId="14" fontId="11" fillId="0" borderId="3" xfId="0" applyNumberFormat="1" applyFont="1" applyBorder="1" applyAlignment="1" applyProtection="1">
      <alignment vertical="center" shrinkToFit="1"/>
    </xf>
    <xf numFmtId="178" fontId="11" fillId="0" borderId="3" xfId="0" applyNumberFormat="1" applyFont="1" applyBorder="1" applyAlignment="1" applyProtection="1">
      <alignment vertical="center" shrinkToFit="1"/>
    </xf>
    <xf numFmtId="177" fontId="11" fillId="0" borderId="3" xfId="0" applyNumberFormat="1" applyFont="1" applyBorder="1" applyAlignment="1" applyProtection="1">
      <alignment horizontal="center" vertical="center" shrinkToFit="1"/>
    </xf>
    <xf numFmtId="177" fontId="11" fillId="0" borderId="4" xfId="0" applyNumberFormat="1" applyFont="1" applyBorder="1" applyAlignment="1" applyProtection="1">
      <alignment vertical="center" shrinkToFit="1"/>
    </xf>
    <xf numFmtId="176" fontId="11" fillId="0" borderId="4" xfId="0" applyNumberFormat="1" applyFont="1" applyBorder="1" applyAlignment="1" applyProtection="1">
      <alignment vertical="center" shrinkToFit="1"/>
    </xf>
    <xf numFmtId="176" fontId="11" fillId="0" borderId="5" xfId="0" applyNumberFormat="1" applyFont="1" applyBorder="1" applyAlignment="1" applyProtection="1">
      <alignment vertical="center" shrinkToFit="1"/>
    </xf>
    <xf numFmtId="176" fontId="11" fillId="0" borderId="6" xfId="0" applyNumberFormat="1" applyFont="1" applyBorder="1" applyAlignment="1" applyProtection="1">
      <alignment vertical="center" shrinkToFit="1"/>
    </xf>
    <xf numFmtId="176" fontId="16" fillId="0" borderId="3" xfId="0" applyNumberFormat="1" applyFont="1" applyBorder="1" applyAlignment="1" applyProtection="1">
      <alignment horizontal="center" vertical="center" shrinkToFit="1"/>
    </xf>
    <xf numFmtId="176" fontId="16" fillId="3" borderId="3" xfId="0" applyNumberFormat="1" applyFont="1" applyFill="1" applyBorder="1" applyAlignment="1" applyProtection="1">
      <alignment vertical="center" shrinkToFit="1"/>
    </xf>
    <xf numFmtId="176" fontId="11" fillId="0" borderId="3" xfId="0" applyNumberFormat="1" applyFont="1" applyBorder="1" applyAlignment="1" applyProtection="1">
      <alignment horizontal="center" vertical="center" shrinkToFit="1"/>
    </xf>
    <xf numFmtId="3" fontId="0" fillId="0" borderId="3" xfId="0" applyNumberFormat="1" applyBorder="1">
      <alignment vertical="center"/>
    </xf>
    <xf numFmtId="3" fontId="0" fillId="0" borderId="7" xfId="0" applyNumberFormat="1" applyBorder="1">
      <alignment vertical="center"/>
    </xf>
    <xf numFmtId="185" fontId="0" fillId="0" borderId="8" xfId="0" applyNumberFormat="1" applyBorder="1">
      <alignment vertical="center"/>
    </xf>
    <xf numFmtId="185" fontId="0" fillId="0" borderId="9" xfId="0" applyNumberFormat="1" applyBorder="1">
      <alignment vertical="center"/>
    </xf>
    <xf numFmtId="0" fontId="0" fillId="3" borderId="10" xfId="0" applyFill="1" applyBorder="1" applyAlignment="1">
      <alignment horizontal="center" vertical="center"/>
    </xf>
    <xf numFmtId="185" fontId="0" fillId="0" borderId="11" xfId="0" applyNumberFormat="1" applyBorder="1">
      <alignment vertical="center"/>
    </xf>
    <xf numFmtId="3" fontId="0" fillId="0" borderId="6" xfId="0" applyNumberFormat="1" applyBorder="1">
      <alignment vertical="center"/>
    </xf>
    <xf numFmtId="185" fontId="0" fillId="0" borderId="12" xfId="0" applyNumberFormat="1" applyBorder="1">
      <alignment vertical="center"/>
    </xf>
    <xf numFmtId="3" fontId="0" fillId="0" borderId="13" xfId="0" applyNumberFormat="1" applyBorder="1">
      <alignment vertical="center"/>
    </xf>
    <xf numFmtId="3" fontId="0" fillId="0" borderId="14" xfId="0" applyNumberFormat="1" applyBorder="1">
      <alignment vertical="center"/>
    </xf>
    <xf numFmtId="3" fontId="0" fillId="0" borderId="15" xfId="0" applyNumberFormat="1" applyBorder="1">
      <alignment vertical="center"/>
    </xf>
    <xf numFmtId="3" fontId="0" fillId="0" borderId="16" xfId="0" applyNumberFormat="1" applyBorder="1">
      <alignment vertical="center"/>
    </xf>
    <xf numFmtId="3" fontId="0" fillId="0" borderId="17" xfId="0" applyNumberFormat="1" applyBorder="1">
      <alignment vertical="center"/>
    </xf>
    <xf numFmtId="3" fontId="0" fillId="3" borderId="18" xfId="0" applyNumberFormat="1" applyFill="1" applyBorder="1">
      <alignment vertical="center"/>
    </xf>
    <xf numFmtId="3" fontId="0" fillId="3" borderId="19" xfId="0" applyNumberFormat="1" applyFill="1" applyBorder="1">
      <alignment vertical="center"/>
    </xf>
    <xf numFmtId="3" fontId="11" fillId="0" borderId="8" xfId="0" applyNumberFormat="1" applyFont="1" applyBorder="1" applyAlignment="1" applyProtection="1">
      <alignment vertical="center" shrinkToFit="1"/>
    </xf>
    <xf numFmtId="3" fontId="11" fillId="0" borderId="12" xfId="0" applyNumberFormat="1" applyFont="1" applyBorder="1" applyAlignment="1" applyProtection="1">
      <alignment vertical="center" shrinkToFit="1"/>
    </xf>
    <xf numFmtId="3" fontId="11" fillId="0" borderId="11" xfId="0" applyNumberFormat="1" applyFont="1" applyBorder="1" applyAlignment="1" applyProtection="1">
      <alignment vertical="center" shrinkToFit="1"/>
    </xf>
    <xf numFmtId="3" fontId="11" fillId="0" borderId="9" xfId="0" applyNumberFormat="1" applyFont="1" applyBorder="1" applyAlignment="1" applyProtection="1">
      <alignment vertical="center" shrinkToFit="1"/>
    </xf>
    <xf numFmtId="3" fontId="0" fillId="3" borderId="10" xfId="0" applyNumberFormat="1" applyFill="1" applyBorder="1">
      <alignment vertical="center"/>
    </xf>
    <xf numFmtId="0" fontId="8" fillId="4" borderId="1" xfId="0" applyFont="1" applyFill="1" applyBorder="1" applyAlignment="1">
      <alignment horizontal="center" vertical="center"/>
    </xf>
    <xf numFmtId="0" fontId="0" fillId="3" borderId="1" xfId="0" applyFill="1"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17" fillId="0" borderId="0" xfId="0" applyFont="1">
      <alignment vertical="center"/>
    </xf>
    <xf numFmtId="0" fontId="18" fillId="0" borderId="0" xfId="0" applyFont="1">
      <alignment vertical="center"/>
    </xf>
    <xf numFmtId="176" fontId="19" fillId="0" borderId="0" xfId="0" applyNumberFormat="1" applyFont="1" applyAlignment="1" applyProtection="1">
      <alignment vertical="center" shrinkToFit="1"/>
    </xf>
    <xf numFmtId="0" fontId="0" fillId="0" borderId="0" xfId="0" applyAlignment="1">
      <alignment vertical="center" shrinkToFit="1"/>
    </xf>
    <xf numFmtId="0" fontId="0" fillId="0" borderId="0" xfId="0" applyAlignment="1">
      <alignment horizontal="center" vertical="center" shrinkToFit="1"/>
    </xf>
    <xf numFmtId="38" fontId="7" fillId="0" borderId="3" xfId="1" applyFont="1" applyBorder="1" applyAlignment="1">
      <alignment vertical="center" shrinkToFit="1"/>
    </xf>
    <xf numFmtId="186" fontId="0" fillId="0" borderId="3" xfId="0" applyNumberFormat="1" applyBorder="1" applyAlignment="1">
      <alignment vertical="center" shrinkToFit="1"/>
    </xf>
    <xf numFmtId="0" fontId="9" fillId="3" borderId="3" xfId="0" applyFont="1" applyFill="1" applyBorder="1" applyAlignment="1">
      <alignment horizontal="center" vertical="center" shrinkToFit="1"/>
    </xf>
    <xf numFmtId="0" fontId="12" fillId="3" borderId="3" xfId="0" applyFont="1" applyFill="1" applyBorder="1" applyAlignment="1">
      <alignment horizontal="center" vertical="center" shrinkToFit="1"/>
    </xf>
    <xf numFmtId="0" fontId="0" fillId="5" borderId="0" xfId="0" applyFill="1" applyAlignment="1" applyProtection="1">
      <alignment vertical="center" shrinkToFit="1"/>
    </xf>
    <xf numFmtId="0" fontId="0" fillId="5" borderId="0" xfId="0" applyFill="1" applyAlignment="1" applyProtection="1">
      <alignment vertical="center"/>
    </xf>
    <xf numFmtId="0" fontId="0" fillId="5" borderId="0" xfId="0" applyFill="1" applyBorder="1" applyAlignment="1" applyProtection="1">
      <alignment vertical="center" shrinkToFit="1"/>
    </xf>
    <xf numFmtId="180" fontId="0" fillId="5" borderId="0" xfId="0" applyNumberFormat="1" applyFill="1" applyAlignment="1" applyProtection="1">
      <alignment vertical="center" shrinkToFit="1"/>
    </xf>
    <xf numFmtId="0" fontId="0" fillId="5" borderId="0" xfId="0" applyFill="1" applyAlignment="1" applyProtection="1">
      <alignment vertical="center" shrinkToFit="1"/>
      <protection hidden="1"/>
    </xf>
    <xf numFmtId="0" fontId="20" fillId="5" borderId="0" xfId="0" applyFont="1" applyFill="1" applyAlignment="1" applyProtection="1">
      <protection hidden="1"/>
    </xf>
    <xf numFmtId="0" fontId="21" fillId="5" borderId="0" xfId="0" applyFont="1" applyFill="1" applyAlignment="1" applyProtection="1">
      <protection hidden="1"/>
    </xf>
    <xf numFmtId="0" fontId="0" fillId="5" borderId="0" xfId="0" applyFill="1" applyAlignment="1" applyProtection="1">
      <alignment vertical="center"/>
      <protection hidden="1"/>
    </xf>
    <xf numFmtId="0" fontId="0" fillId="5" borderId="0" xfId="0" applyFill="1" applyAlignment="1" applyProtection="1">
      <protection hidden="1"/>
    </xf>
    <xf numFmtId="0" fontId="22" fillId="5" borderId="0" xfId="0" applyFont="1" applyFill="1" applyAlignment="1" applyProtection="1">
      <alignment horizontal="center"/>
      <protection hidden="1"/>
    </xf>
    <xf numFmtId="0" fontId="0" fillId="5" borderId="0" xfId="0" applyFill="1" applyAlignment="1" applyProtection="1">
      <alignment horizontal="center" vertical="center" shrinkToFit="1"/>
      <protection hidden="1"/>
    </xf>
    <xf numFmtId="0" fontId="10" fillId="0" borderId="22" xfId="0" applyFont="1" applyFill="1" applyBorder="1" applyAlignment="1" applyProtection="1">
      <alignment horizontal="center" vertical="center" shrinkToFit="1"/>
      <protection hidden="1"/>
    </xf>
    <xf numFmtId="0" fontId="0" fillId="5" borderId="0" xfId="0" applyFill="1" applyBorder="1" applyAlignment="1" applyProtection="1">
      <alignment vertical="center" shrinkToFit="1"/>
      <protection hidden="1"/>
    </xf>
    <xf numFmtId="184" fontId="10" fillId="0" borderId="46" xfId="0" applyNumberFormat="1" applyFont="1" applyFill="1" applyBorder="1" applyAlignment="1" applyProtection="1">
      <alignment horizontal="center" vertical="center" shrinkToFit="1"/>
      <protection hidden="1"/>
    </xf>
    <xf numFmtId="180" fontId="10" fillId="5" borderId="0" xfId="0" applyNumberFormat="1" applyFont="1" applyFill="1" applyBorder="1" applyAlignment="1" applyProtection="1">
      <alignment horizontal="center" vertical="center" shrinkToFit="1"/>
      <protection hidden="1"/>
    </xf>
    <xf numFmtId="0" fontId="24" fillId="5" borderId="23" xfId="0" applyFont="1" applyFill="1" applyBorder="1" applyAlignment="1" applyProtection="1">
      <alignment vertical="center" shrinkToFit="1"/>
      <protection hidden="1"/>
    </xf>
    <xf numFmtId="5" fontId="10" fillId="5" borderId="24" xfId="0" applyNumberFormat="1" applyFont="1" applyFill="1" applyBorder="1" applyAlignment="1" applyProtection="1">
      <alignment horizontal="right" vertical="center" indent="1" shrinkToFit="1"/>
      <protection hidden="1"/>
    </xf>
    <xf numFmtId="181" fontId="9" fillId="5" borderId="0" xfId="0" applyNumberFormat="1" applyFont="1" applyFill="1" applyAlignment="1" applyProtection="1">
      <alignment vertical="center" shrinkToFit="1"/>
      <protection hidden="1"/>
    </xf>
    <xf numFmtId="0" fontId="24" fillId="5" borderId="8" xfId="0" applyFont="1" applyFill="1" applyBorder="1" applyAlignment="1" applyProtection="1">
      <alignment vertical="center" shrinkToFit="1"/>
      <protection hidden="1"/>
    </xf>
    <xf numFmtId="5" fontId="10" fillId="5" borderId="25" xfId="0" applyNumberFormat="1" applyFont="1" applyFill="1" applyBorder="1" applyAlignment="1" applyProtection="1">
      <alignment horizontal="right" vertical="center" indent="1" shrinkToFit="1"/>
      <protection hidden="1"/>
    </xf>
    <xf numFmtId="5" fontId="0" fillId="5" borderId="0" xfId="0" applyNumberFormat="1" applyFill="1" applyAlignment="1" applyProtection="1">
      <alignment vertical="center" shrinkToFit="1"/>
      <protection hidden="1"/>
    </xf>
    <xf numFmtId="0" fontId="0" fillId="5" borderId="0" xfId="0" applyNumberFormat="1" applyFill="1" applyAlignment="1" applyProtection="1">
      <alignment vertical="center" shrinkToFit="1"/>
      <protection hidden="1"/>
    </xf>
    <xf numFmtId="0" fontId="24" fillId="5" borderId="26" xfId="0" applyFont="1" applyFill="1" applyBorder="1" applyAlignment="1" applyProtection="1">
      <alignment vertical="center" shrinkToFit="1"/>
      <protection hidden="1"/>
    </xf>
    <xf numFmtId="5" fontId="10" fillId="5" borderId="27" xfId="0" applyNumberFormat="1" applyFont="1" applyFill="1" applyBorder="1" applyAlignment="1" applyProtection="1">
      <alignment horizontal="right" vertical="center" indent="1" shrinkToFit="1"/>
      <protection hidden="1"/>
    </xf>
    <xf numFmtId="5" fontId="22" fillId="5" borderId="0" xfId="0" applyNumberFormat="1" applyFont="1" applyFill="1" applyBorder="1" applyAlignment="1" applyProtection="1">
      <alignment horizontal="left" vertical="center" indent="1"/>
      <protection hidden="1"/>
    </xf>
    <xf numFmtId="0" fontId="0" fillId="5" borderId="0" xfId="0" applyFont="1" applyFill="1" applyAlignment="1" applyProtection="1">
      <alignment vertical="center"/>
      <protection hidden="1"/>
    </xf>
    <xf numFmtId="0" fontId="14" fillId="0" borderId="0" xfId="0" applyFont="1" applyProtection="1">
      <alignment vertical="center"/>
      <protection hidden="1"/>
    </xf>
    <xf numFmtId="0" fontId="14" fillId="5" borderId="0" xfId="0" applyFont="1" applyFill="1" applyAlignment="1" applyProtection="1">
      <alignment vertical="center"/>
      <protection hidden="1"/>
    </xf>
    <xf numFmtId="0" fontId="25" fillId="5" borderId="0" xfId="0" applyFont="1" applyFill="1" applyAlignment="1" applyProtection="1">
      <alignment vertical="center"/>
      <protection hidden="1"/>
    </xf>
    <xf numFmtId="176" fontId="11" fillId="0" borderId="3" xfId="0" applyNumberFormat="1" applyFont="1" applyBorder="1" applyAlignment="1" applyProtection="1">
      <alignment horizontal="center" vertical="center" shrinkToFit="1"/>
    </xf>
    <xf numFmtId="0" fontId="11" fillId="0" borderId="0" xfId="0" applyNumberFormat="1" applyFont="1" applyAlignment="1" applyProtection="1">
      <alignment vertical="center" shrinkToFit="1"/>
    </xf>
    <xf numFmtId="5" fontId="22" fillId="0" borderId="37" xfId="0" applyNumberFormat="1" applyFont="1" applyFill="1" applyBorder="1" applyAlignment="1" applyProtection="1">
      <alignment horizontal="right" vertical="center" shrinkToFit="1"/>
      <protection hidden="1"/>
    </xf>
    <xf numFmtId="0" fontId="0" fillId="5" borderId="1" xfId="0" applyFill="1" applyBorder="1" applyAlignment="1" applyProtection="1">
      <alignment horizontal="center" vertical="center" shrinkToFit="1"/>
      <protection hidden="1"/>
    </xf>
    <xf numFmtId="0" fontId="0" fillId="5" borderId="32" xfId="0" applyFill="1" applyBorder="1" applyAlignment="1" applyProtection="1">
      <alignment horizontal="center" vertical="center" shrinkToFit="1"/>
      <protection hidden="1"/>
    </xf>
    <xf numFmtId="0" fontId="22" fillId="5" borderId="0" xfId="0" applyFont="1" applyFill="1" applyAlignment="1" applyProtection="1">
      <alignment horizontal="left" vertical="center" shrinkToFit="1"/>
      <protection hidden="1"/>
    </xf>
    <xf numFmtId="5" fontId="10" fillId="5" borderId="33" xfId="0" applyNumberFormat="1" applyFont="1" applyFill="1" applyBorder="1" applyAlignment="1" applyProtection="1">
      <alignment horizontal="center" vertical="center" shrinkToFit="1"/>
      <protection hidden="1"/>
    </xf>
    <xf numFmtId="5" fontId="10" fillId="5" borderId="34" xfId="0" applyNumberFormat="1" applyFont="1" applyFill="1" applyBorder="1" applyAlignment="1" applyProtection="1">
      <alignment horizontal="center" vertical="center" shrinkToFit="1"/>
      <protection hidden="1"/>
    </xf>
    <xf numFmtId="0" fontId="26" fillId="6" borderId="35" xfId="0" applyFont="1" applyFill="1" applyBorder="1" applyAlignment="1" applyProtection="1">
      <alignment horizontal="center" vertical="center" shrinkToFit="1"/>
      <protection hidden="1"/>
    </xf>
    <xf numFmtId="0" fontId="26" fillId="6" borderId="36" xfId="0" applyFont="1" applyFill="1" applyBorder="1" applyAlignment="1" applyProtection="1">
      <alignment horizontal="center" vertical="center" shrinkToFit="1"/>
      <protection hidden="1"/>
    </xf>
    <xf numFmtId="0" fontId="26" fillId="6" borderId="37" xfId="0" applyFont="1" applyFill="1" applyBorder="1" applyAlignment="1" applyProtection="1">
      <alignment horizontal="center" vertical="center" shrinkToFit="1"/>
      <protection hidden="1"/>
    </xf>
    <xf numFmtId="0" fontId="26" fillId="6" borderId="38" xfId="0" applyFont="1" applyFill="1" applyBorder="1" applyAlignment="1" applyProtection="1">
      <alignment horizontal="center" vertical="center" shrinkToFit="1"/>
      <protection hidden="1"/>
    </xf>
    <xf numFmtId="0" fontId="26" fillId="6" borderId="39" xfId="0" applyFont="1" applyFill="1" applyBorder="1" applyAlignment="1" applyProtection="1">
      <alignment horizontal="center" vertical="center" shrinkToFit="1"/>
      <protection hidden="1"/>
    </xf>
    <xf numFmtId="0" fontId="26" fillId="6" borderId="40" xfId="0" applyFont="1" applyFill="1" applyBorder="1" applyAlignment="1" applyProtection="1">
      <alignment horizontal="center" vertical="center" shrinkToFit="1"/>
      <protection hidden="1"/>
    </xf>
    <xf numFmtId="0" fontId="26" fillId="6" borderId="28" xfId="0" applyFont="1" applyFill="1" applyBorder="1" applyAlignment="1" applyProtection="1">
      <alignment horizontal="center" vertical="center" shrinkToFit="1"/>
      <protection hidden="1"/>
    </xf>
    <xf numFmtId="0" fontId="26" fillId="6" borderId="29" xfId="0" applyFont="1" applyFill="1" applyBorder="1" applyAlignment="1" applyProtection="1">
      <alignment horizontal="center" vertical="center" shrinkToFit="1"/>
      <protection hidden="1"/>
    </xf>
    <xf numFmtId="0" fontId="26" fillId="6" borderId="30" xfId="0" applyFont="1" applyFill="1" applyBorder="1" applyAlignment="1" applyProtection="1">
      <alignment horizontal="center" vertical="center" shrinkToFit="1"/>
      <protection hidden="1"/>
    </xf>
    <xf numFmtId="0" fontId="26" fillId="6" borderId="31" xfId="0" applyFont="1" applyFill="1" applyBorder="1" applyAlignment="1" applyProtection="1">
      <alignment horizontal="center" vertical="center" shrinkToFit="1"/>
      <protection hidden="1"/>
    </xf>
    <xf numFmtId="0" fontId="0" fillId="5" borderId="47" xfId="0" applyFont="1" applyFill="1" applyBorder="1" applyAlignment="1" applyProtection="1">
      <alignment horizontal="center" wrapText="1" shrinkToFit="1"/>
      <protection hidden="1"/>
    </xf>
    <xf numFmtId="0" fontId="0" fillId="5" borderId="29" xfId="0" applyFont="1" applyFill="1" applyBorder="1" applyAlignment="1" applyProtection="1">
      <alignment horizontal="center" wrapText="1" shrinkToFit="1"/>
      <protection hidden="1"/>
    </xf>
    <xf numFmtId="0" fontId="23" fillId="5" borderId="48" xfId="0" applyFont="1" applyFill="1" applyBorder="1" applyAlignment="1" applyProtection="1">
      <alignment horizontal="center" vertical="center" shrinkToFit="1"/>
      <protection hidden="1"/>
    </xf>
    <xf numFmtId="0" fontId="23" fillId="5" borderId="31" xfId="0" applyFont="1" applyFill="1" applyBorder="1" applyAlignment="1" applyProtection="1">
      <alignment horizontal="center" vertical="center" shrinkToFit="1"/>
      <protection hidden="1"/>
    </xf>
    <xf numFmtId="176" fontId="11" fillId="0" borderId="3" xfId="0" applyNumberFormat="1" applyFont="1" applyBorder="1" applyAlignment="1" applyProtection="1">
      <alignment horizontal="center" vertical="center" shrinkToFit="1"/>
    </xf>
    <xf numFmtId="177" fontId="11" fillId="0" borderId="41" xfId="0" applyNumberFormat="1" applyFont="1" applyBorder="1" applyAlignment="1" applyProtection="1">
      <alignment horizontal="center" vertical="center" shrinkToFit="1"/>
    </xf>
    <xf numFmtId="177" fontId="11" fillId="0" borderId="42" xfId="0" applyNumberFormat="1" applyFont="1" applyBorder="1" applyAlignment="1" applyProtection="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47625</xdr:colOff>
      <xdr:row>21</xdr:row>
      <xdr:rowOff>57150</xdr:rowOff>
    </xdr:from>
    <xdr:to>
      <xdr:col>7</xdr:col>
      <xdr:colOff>495301</xdr:colOff>
      <xdr:row>24</xdr:row>
      <xdr:rowOff>142875</xdr:rowOff>
    </xdr:to>
    <xdr:sp macro="" textlink="">
      <xdr:nvSpPr>
        <xdr:cNvPr id="4" name="テキスト ボックス 3">
          <a:extLst>
            <a:ext uri="{FF2B5EF4-FFF2-40B4-BE49-F238E27FC236}">
              <a16:creationId xmlns:a16="http://schemas.microsoft.com/office/drawing/2014/main" id="{EF8FBBFD-2F6F-4B1A-A6B6-CD1ABCC5BB63}"/>
            </a:ext>
          </a:extLst>
        </xdr:cNvPr>
        <xdr:cNvSpPr txBox="1"/>
      </xdr:nvSpPr>
      <xdr:spPr>
        <a:xfrm>
          <a:off x="142875" y="5114925"/>
          <a:ext cx="6105526" cy="676275"/>
        </a:xfrm>
        <a:prstGeom prst="rect">
          <a:avLst/>
        </a:prstGeom>
        <a:solidFill>
          <a:schemeClr val="lt1"/>
        </a:solidFill>
        <a:ln w="2540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rPr>
            <a:t>上記金額はあくまでも試算です。</a:t>
          </a:r>
          <a:endParaRPr kumimoji="1" lang="en-US" altLang="ja-JP" sz="3200" b="1">
            <a:solidFill>
              <a:srgbClr val="FF0000"/>
            </a:solidFill>
          </a:endParaRPr>
        </a:p>
      </xdr:txBody>
    </xdr:sp>
    <xdr:clientData/>
  </xdr:twoCellAnchor>
  <xdr:twoCellAnchor>
    <xdr:from>
      <xdr:col>5</xdr:col>
      <xdr:colOff>247650</xdr:colOff>
      <xdr:row>4</xdr:row>
      <xdr:rowOff>0</xdr:rowOff>
    </xdr:from>
    <xdr:to>
      <xdr:col>7</xdr:col>
      <xdr:colOff>409575</xdr:colOff>
      <xdr:row>5</xdr:row>
      <xdr:rowOff>85725</xdr:rowOff>
    </xdr:to>
    <xdr:sp macro="" textlink="">
      <xdr:nvSpPr>
        <xdr:cNvPr id="8" name="角丸四角形吹き出し 7">
          <a:extLst>
            <a:ext uri="{FF2B5EF4-FFF2-40B4-BE49-F238E27FC236}">
              <a16:creationId xmlns:a16="http://schemas.microsoft.com/office/drawing/2014/main" id="{061A4B14-00E4-42C9-B80F-58B58132BDD6}"/>
            </a:ext>
          </a:extLst>
        </xdr:cNvPr>
        <xdr:cNvSpPr/>
      </xdr:nvSpPr>
      <xdr:spPr>
        <a:xfrm>
          <a:off x="4600575" y="1143000"/>
          <a:ext cx="2019300" cy="314325"/>
        </a:xfrm>
        <a:prstGeom prst="wedgeRoundRectCallout">
          <a:avLst>
            <a:gd name="adj1" fmla="val -59963"/>
            <a:gd name="adj2" fmla="val 10795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赤線内に入力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142875</xdr:colOff>
      <xdr:row>6</xdr:row>
      <xdr:rowOff>19050</xdr:rowOff>
    </xdr:from>
    <xdr:to>
      <xdr:col>18</xdr:col>
      <xdr:colOff>409575</xdr:colOff>
      <xdr:row>14</xdr:row>
      <xdr:rowOff>95250</xdr:rowOff>
    </xdr:to>
    <xdr:sp macro="" textlink="">
      <xdr:nvSpPr>
        <xdr:cNvPr id="2" name="角丸四角形吹き出し 1">
          <a:extLst>
            <a:ext uri="{FF2B5EF4-FFF2-40B4-BE49-F238E27FC236}">
              <a16:creationId xmlns:a16="http://schemas.microsoft.com/office/drawing/2014/main" id="{3061B901-B654-45AA-8CD8-FA86126FD38F}"/>
            </a:ext>
          </a:extLst>
        </xdr:cNvPr>
        <xdr:cNvSpPr/>
      </xdr:nvSpPr>
      <xdr:spPr>
        <a:xfrm>
          <a:off x="10629900" y="1047750"/>
          <a:ext cx="1733550" cy="1447800"/>
        </a:xfrm>
        <a:prstGeom prst="wedgeRoundRectCallout">
          <a:avLst>
            <a:gd name="adj1" fmla="val -48306"/>
            <a:gd name="adj2" fmla="val -951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R02</a:t>
          </a:r>
          <a:r>
            <a:rPr kumimoji="1" lang="ja-JP" altLang="en-US" sz="1100"/>
            <a:t>年度の率及び平均標準報酬が決定したら入力しなおすこと</a:t>
          </a:r>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6"/>
  <sheetViews>
    <sheetView tabSelected="1" zoomScaleNormal="100" workbookViewId="0">
      <selection activeCell="E9" sqref="E9"/>
    </sheetView>
  </sheetViews>
  <sheetFormatPr defaultRowHeight="13.5" x14ac:dyDescent="0.15"/>
  <cols>
    <col min="1" max="1" width="1.25" style="80" customWidth="1"/>
    <col min="2" max="2" width="3.625" style="80" customWidth="1"/>
    <col min="3" max="3" width="10" style="80" customWidth="1"/>
    <col min="4" max="4" width="23.125" style="80" customWidth="1"/>
    <col min="5" max="5" width="19.125" style="80" customWidth="1"/>
    <col min="6" max="6" width="15.375" style="80" customWidth="1"/>
    <col min="7" max="7" width="9" style="80"/>
    <col min="8" max="8" width="11.75" style="80" customWidth="1"/>
    <col min="9" max="16384" width="9" style="80"/>
  </cols>
  <sheetData>
    <row r="1" spans="1:23" ht="24.95" customHeight="1" x14ac:dyDescent="0.2">
      <c r="A1" s="84"/>
      <c r="B1" s="85" t="s">
        <v>60</v>
      </c>
      <c r="C1" s="85"/>
      <c r="D1" s="84"/>
      <c r="E1" s="84"/>
      <c r="F1" s="84"/>
      <c r="G1" s="84"/>
      <c r="H1" s="84"/>
      <c r="I1" s="84"/>
      <c r="J1" s="84"/>
      <c r="K1" s="84"/>
      <c r="L1" s="84"/>
    </row>
    <row r="2" spans="1:23" ht="24.95" customHeight="1" x14ac:dyDescent="0.15">
      <c r="A2" s="84"/>
      <c r="B2" s="86"/>
      <c r="C2" s="86"/>
      <c r="D2" s="84"/>
      <c r="E2" s="84"/>
      <c r="F2" s="84"/>
      <c r="G2" s="84"/>
      <c r="H2" s="84"/>
      <c r="I2" s="84"/>
      <c r="J2" s="84"/>
      <c r="K2" s="84"/>
      <c r="L2" s="84"/>
    </row>
    <row r="3" spans="1:23" s="81" customFormat="1" ht="22.5" customHeight="1" x14ac:dyDescent="0.15">
      <c r="A3" s="87"/>
      <c r="B3" s="87"/>
      <c r="C3" s="87"/>
      <c r="D3" s="88"/>
      <c r="E3" s="89" t="s">
        <v>32</v>
      </c>
      <c r="F3" s="87"/>
      <c r="G3" s="87"/>
      <c r="H3" s="87"/>
      <c r="I3" s="87"/>
      <c r="J3" s="87"/>
      <c r="K3" s="87"/>
      <c r="L3" s="87"/>
    </row>
    <row r="4" spans="1:23" ht="18" customHeight="1" x14ac:dyDescent="0.15">
      <c r="A4" s="84"/>
      <c r="B4" s="84"/>
      <c r="C4" s="84"/>
      <c r="D4" s="84"/>
      <c r="E4" s="90" t="s">
        <v>33</v>
      </c>
      <c r="F4" s="84"/>
      <c r="G4" s="84"/>
      <c r="H4" s="84"/>
      <c r="I4" s="84"/>
      <c r="J4" s="84"/>
      <c r="K4" s="84"/>
      <c r="L4" s="84"/>
    </row>
    <row r="5" spans="1:23" ht="18" customHeight="1" thickBot="1" x14ac:dyDescent="0.2">
      <c r="A5" s="84"/>
      <c r="B5" s="112" t="s">
        <v>40</v>
      </c>
      <c r="C5" s="113"/>
      <c r="D5" s="113"/>
      <c r="E5" s="91" t="s">
        <v>71</v>
      </c>
      <c r="F5" s="84"/>
      <c r="G5" s="84"/>
      <c r="H5" s="84"/>
      <c r="I5" s="84"/>
      <c r="J5" s="84"/>
      <c r="K5" s="84"/>
      <c r="L5" s="84"/>
    </row>
    <row r="6" spans="1:23" ht="18" customHeight="1" thickTop="1" x14ac:dyDescent="0.15">
      <c r="A6" s="84"/>
      <c r="B6" s="112" t="s">
        <v>35</v>
      </c>
      <c r="C6" s="113"/>
      <c r="D6" s="113"/>
      <c r="E6" s="2" t="s">
        <v>17</v>
      </c>
      <c r="F6" s="84"/>
      <c r="G6" s="84"/>
      <c r="H6" s="84"/>
      <c r="I6" s="84"/>
      <c r="J6" s="84"/>
      <c r="K6" s="84"/>
      <c r="L6" s="84"/>
    </row>
    <row r="7" spans="1:23" ht="18" customHeight="1" x14ac:dyDescent="0.15">
      <c r="A7" s="84"/>
      <c r="B7" s="112" t="s">
        <v>30</v>
      </c>
      <c r="C7" s="113"/>
      <c r="D7" s="113"/>
      <c r="E7" s="1" t="s">
        <v>131</v>
      </c>
      <c r="F7" s="84"/>
      <c r="G7" s="84"/>
      <c r="H7" s="84"/>
      <c r="I7" s="84"/>
      <c r="J7" s="87"/>
      <c r="K7" s="84"/>
      <c r="L7" s="84"/>
    </row>
    <row r="8" spans="1:23" ht="18" customHeight="1" x14ac:dyDescent="0.15">
      <c r="A8" s="84"/>
      <c r="B8" s="112" t="s">
        <v>52</v>
      </c>
      <c r="C8" s="113"/>
      <c r="D8" s="113"/>
      <c r="E8" s="27">
        <v>440000</v>
      </c>
      <c r="F8" s="84"/>
      <c r="G8" s="84"/>
      <c r="H8" s="84"/>
      <c r="I8" s="84"/>
      <c r="J8" s="84"/>
      <c r="K8" s="84"/>
      <c r="L8" s="84"/>
    </row>
    <row r="9" spans="1:23" ht="18" customHeight="1" thickBot="1" x14ac:dyDescent="0.2">
      <c r="A9" s="84"/>
      <c r="B9" s="112" t="s">
        <v>66</v>
      </c>
      <c r="C9" s="113"/>
      <c r="D9" s="113"/>
      <c r="E9" s="32">
        <v>46113</v>
      </c>
      <c r="F9" s="84"/>
      <c r="G9" s="87"/>
      <c r="H9" s="84"/>
      <c r="I9" s="84"/>
      <c r="J9" s="84"/>
      <c r="K9" s="84"/>
      <c r="L9" s="92"/>
    </row>
    <row r="10" spans="1:23" ht="18" customHeight="1" thickTop="1" x14ac:dyDescent="0.15">
      <c r="A10" s="84"/>
      <c r="B10" s="112" t="s">
        <v>83</v>
      </c>
      <c r="C10" s="113"/>
      <c r="D10" s="113"/>
      <c r="E10" s="93">
        <f>IF('0'!B5&lt;13,'0'!B5,"加入年月日エラー。")</f>
        <v>12</v>
      </c>
      <c r="F10" s="84"/>
      <c r="G10" s="84"/>
      <c r="H10" s="84"/>
      <c r="I10" s="84"/>
      <c r="J10" s="84"/>
      <c r="K10" s="94"/>
      <c r="L10" s="92"/>
      <c r="M10" s="83"/>
    </row>
    <row r="11" spans="1:23" ht="18" customHeight="1" thickBot="1" x14ac:dyDescent="0.2">
      <c r="A11" s="84"/>
      <c r="B11" s="84"/>
      <c r="C11" s="84"/>
      <c r="D11" s="84"/>
      <c r="E11" s="90" t="s">
        <v>33</v>
      </c>
      <c r="F11" s="84"/>
      <c r="G11" s="84"/>
      <c r="H11" s="84"/>
      <c r="I11" s="84"/>
      <c r="J11" s="84"/>
      <c r="K11" s="84"/>
      <c r="L11" s="84"/>
    </row>
    <row r="12" spans="1:23" ht="18.75" customHeight="1" x14ac:dyDescent="0.15">
      <c r="A12" s="84"/>
      <c r="B12" s="123" t="s">
        <v>126</v>
      </c>
      <c r="C12" s="124"/>
      <c r="D12" s="127" t="str">
        <f>IF(E7="NO","任意継続掛金+子ども・子育て掛金","任意継続掛金+子ども・子育て掛金+介護掛金")</f>
        <v>任意継続掛金+子ども・子育て掛金+介護掛金</v>
      </c>
      <c r="E12" s="128"/>
      <c r="F12" s="115">
        <f>IF('0'!B5&lt;13,IF(AND(E5="令和8年度",E9&lt;46113),SUM('0'!F60,'0'!F63),SUM('0'!F34,'0'!F37)),"")</f>
        <v>45616</v>
      </c>
      <c r="G12" s="84"/>
      <c r="H12" s="84"/>
      <c r="I12" s="84"/>
      <c r="J12" s="84"/>
      <c r="K12" s="84"/>
      <c r="L12" s="90"/>
      <c r="M12" s="84"/>
    </row>
    <row r="13" spans="1:23" ht="18.75" customHeight="1" thickBot="1" x14ac:dyDescent="0.2">
      <c r="A13" s="84"/>
      <c r="B13" s="125"/>
      <c r="C13" s="126"/>
      <c r="D13" s="129" t="str">
        <f>IF($E$5="令和8年度",IF(E7="NO",CONCATENATE("掛金率 ( ",'0'!B8,"/1000+ ",'0'!B10,"/1000)"),CONCATENATE("掛金率 (",'0'!B8,"/1000+ ",'0'!B10,"/1000 + ",'0'!B9,"/1000 )")),IF(E7="NO",CONCATENATE("掛金率 ( ",'0'!B8,"/1000+ ",'0'!B10,"/1000))"),CONCATENATE("掛金率 (",'0'!B8,"/1000 + ",'0'!B10,"/1000+ ",'0'!B9,"/1000 )")))</f>
        <v>掛金率 (93.2/1000+ 2.3/1000 + 15.76/1000 )</v>
      </c>
      <c r="E13" s="130"/>
      <c r="F13" s="116"/>
      <c r="G13" s="84"/>
      <c r="H13" s="84"/>
      <c r="I13" s="84"/>
      <c r="J13" s="84"/>
      <c r="K13" s="84"/>
      <c r="L13" s="84"/>
      <c r="M13" s="84"/>
      <c r="W13" s="82"/>
    </row>
    <row r="14" spans="1:23" ht="18" customHeight="1" thickBot="1" x14ac:dyDescent="0.2">
      <c r="A14" s="84"/>
      <c r="B14" s="84"/>
      <c r="C14" s="84"/>
      <c r="D14" s="84"/>
      <c r="E14" s="90" t="s">
        <v>33</v>
      </c>
      <c r="F14" s="90"/>
      <c r="G14" s="84"/>
      <c r="H14" s="84"/>
      <c r="I14" s="84"/>
      <c r="J14" s="84"/>
      <c r="K14" s="84"/>
      <c r="L14" s="84"/>
    </row>
    <row r="15" spans="1:23" ht="18" customHeight="1" thickTop="1" x14ac:dyDescent="0.15">
      <c r="A15" s="84"/>
      <c r="B15" s="117" t="s">
        <v>127</v>
      </c>
      <c r="C15" s="118"/>
      <c r="D15" s="95" t="s">
        <v>64</v>
      </c>
      <c r="E15" s="96">
        <f>IF('0'!B5&lt;13,IF(E5="令和8年度",'0'!O71,SUM('0'!H39,'0'!H42)),"")</f>
        <v>537675</v>
      </c>
      <c r="F15" s="111"/>
      <c r="G15" s="97">
        <f>FLOOR(+E17-E15,100)</f>
        <v>9700</v>
      </c>
      <c r="H15" s="97" t="s">
        <v>55</v>
      </c>
      <c r="I15" s="84"/>
      <c r="J15" s="84"/>
      <c r="K15" s="84"/>
      <c r="L15" s="84"/>
    </row>
    <row r="16" spans="1:23" ht="18" customHeight="1" x14ac:dyDescent="0.15">
      <c r="A16" s="84"/>
      <c r="B16" s="119"/>
      <c r="C16" s="120"/>
      <c r="D16" s="98" t="s">
        <v>65</v>
      </c>
      <c r="E16" s="99">
        <f>IF('0'!B5&lt;13,IF(E5="令和8年度",'0'!Q71,SUM('0'!H45,'0'!H48,'0'!H51,'0'!H54)),"")</f>
        <v>542062</v>
      </c>
      <c r="F16" s="111"/>
      <c r="G16" s="97">
        <f>FLOOR(+E17-E16,100)</f>
        <v>5300</v>
      </c>
      <c r="H16" s="97" t="s">
        <v>55</v>
      </c>
      <c r="I16" s="100"/>
      <c r="J16" s="101"/>
      <c r="K16" s="101"/>
      <c r="L16" s="101"/>
    </row>
    <row r="17" spans="1:12" ht="18" customHeight="1" thickBot="1" x14ac:dyDescent="0.2">
      <c r="A17" s="84"/>
      <c r="B17" s="121"/>
      <c r="C17" s="122"/>
      <c r="D17" s="102" t="s">
        <v>84</v>
      </c>
      <c r="E17" s="103">
        <f>IF('0'!B5&lt;13,IF(E5="令和8年度",'0'!L71,+F12*E10),"")</f>
        <v>547392</v>
      </c>
      <c r="F17" s="104"/>
      <c r="G17" s="114" t="s">
        <v>61</v>
      </c>
      <c r="H17" s="114"/>
      <c r="I17" s="84"/>
      <c r="J17" s="84"/>
      <c r="K17" s="84"/>
      <c r="L17" s="84"/>
    </row>
    <row r="18" spans="1:12" ht="14.25" customHeight="1" thickTop="1" x14ac:dyDescent="0.15">
      <c r="A18" s="84"/>
      <c r="B18" s="84"/>
      <c r="C18" s="84"/>
      <c r="D18" s="84"/>
      <c r="E18" s="84"/>
      <c r="F18" s="84"/>
      <c r="G18" s="84"/>
      <c r="H18" s="84"/>
      <c r="I18" s="84"/>
      <c r="J18" s="84"/>
      <c r="K18" s="84"/>
      <c r="L18" s="84"/>
    </row>
    <row r="19" spans="1:12" ht="20.100000000000001" customHeight="1" x14ac:dyDescent="0.15">
      <c r="A19" s="84" t="s">
        <v>58</v>
      </c>
      <c r="B19" s="105" t="s">
        <v>124</v>
      </c>
      <c r="C19" s="105"/>
      <c r="D19" s="87"/>
      <c r="E19" s="87"/>
      <c r="F19" s="84"/>
      <c r="G19" s="84"/>
      <c r="H19" s="84"/>
      <c r="I19" s="84"/>
      <c r="J19" s="84"/>
      <c r="K19" s="84"/>
      <c r="L19" s="84"/>
    </row>
    <row r="20" spans="1:12" ht="20.100000000000001" customHeight="1" x14ac:dyDescent="0.15">
      <c r="A20" s="84" t="s">
        <v>58</v>
      </c>
      <c r="B20" s="106" t="s">
        <v>125</v>
      </c>
      <c r="C20" s="106"/>
      <c r="D20" s="87"/>
      <c r="E20" s="87"/>
      <c r="F20" s="84"/>
      <c r="G20" s="84"/>
      <c r="H20" s="84"/>
      <c r="I20" s="84"/>
      <c r="J20" s="84"/>
      <c r="K20" s="84"/>
      <c r="L20" s="84"/>
    </row>
    <row r="21" spans="1:12" ht="20.100000000000001" customHeight="1" x14ac:dyDescent="0.15">
      <c r="A21" s="84" t="s">
        <v>59</v>
      </c>
      <c r="B21" s="107" t="s">
        <v>54</v>
      </c>
      <c r="C21" s="107"/>
      <c r="D21" s="87"/>
      <c r="E21" s="87"/>
      <c r="F21" s="84"/>
      <c r="G21" s="84"/>
      <c r="H21" s="84"/>
      <c r="I21" s="84"/>
      <c r="J21" s="84"/>
      <c r="K21" s="84"/>
      <c r="L21" s="84"/>
    </row>
    <row r="22" spans="1:12" ht="20.100000000000001" customHeight="1" x14ac:dyDescent="0.15">
      <c r="A22" s="84"/>
      <c r="B22" s="107"/>
      <c r="C22" s="107"/>
      <c r="D22" s="87"/>
      <c r="E22" s="87"/>
      <c r="F22" s="84"/>
      <c r="G22" s="84"/>
      <c r="H22" s="84"/>
      <c r="I22" s="84"/>
      <c r="J22" s="84"/>
      <c r="K22" s="84"/>
      <c r="L22" s="84"/>
    </row>
    <row r="23" spans="1:12" x14ac:dyDescent="0.15">
      <c r="A23" s="84"/>
      <c r="B23" s="108"/>
      <c r="C23" s="108"/>
      <c r="D23" s="87"/>
      <c r="E23" s="87"/>
      <c r="F23" s="84"/>
      <c r="G23" s="84"/>
      <c r="H23" s="84"/>
      <c r="I23" s="84"/>
      <c r="J23" s="84"/>
      <c r="K23" s="84"/>
      <c r="L23" s="84"/>
    </row>
    <row r="24" spans="1:12" ht="13.5" customHeight="1" x14ac:dyDescent="0.15">
      <c r="A24" s="84"/>
      <c r="B24" s="84"/>
      <c r="C24" s="84"/>
      <c r="D24" s="84"/>
      <c r="E24" s="84"/>
      <c r="F24" s="84"/>
      <c r="G24" s="84"/>
      <c r="H24" s="84"/>
      <c r="I24" s="84"/>
      <c r="J24" s="84"/>
      <c r="K24" s="84"/>
      <c r="L24" s="84"/>
    </row>
    <row r="25" spans="1:12" x14ac:dyDescent="0.15">
      <c r="A25" s="84"/>
      <c r="B25" s="84"/>
      <c r="C25" s="84"/>
      <c r="D25" s="84"/>
      <c r="E25" s="84"/>
      <c r="F25" s="84"/>
      <c r="G25" s="84"/>
      <c r="H25" s="84"/>
      <c r="I25" s="84"/>
      <c r="J25" s="84"/>
      <c r="K25" s="84"/>
      <c r="L25" s="84"/>
    </row>
    <row r="26" spans="1:12" ht="13.5" customHeight="1" x14ac:dyDescent="0.15">
      <c r="A26" s="84"/>
      <c r="B26" s="84"/>
      <c r="C26" s="84"/>
      <c r="D26" s="84"/>
      <c r="E26" s="84"/>
      <c r="F26" s="84"/>
      <c r="G26" s="84"/>
      <c r="H26" s="84"/>
      <c r="I26" s="84"/>
      <c r="J26" s="84"/>
      <c r="K26" s="84"/>
      <c r="L26" s="84"/>
    </row>
    <row r="27" spans="1:12" x14ac:dyDescent="0.15">
      <c r="A27" s="84"/>
      <c r="B27" s="84"/>
      <c r="C27" s="84"/>
      <c r="D27" s="84"/>
      <c r="E27" s="84"/>
      <c r="F27" s="84"/>
      <c r="G27" s="84"/>
      <c r="H27" s="84"/>
      <c r="I27" s="84"/>
      <c r="J27" s="84"/>
      <c r="K27" s="84"/>
      <c r="L27" s="84"/>
    </row>
    <row r="28" spans="1:12" ht="13.5" customHeight="1" x14ac:dyDescent="0.15">
      <c r="A28" s="84"/>
      <c r="B28" s="84"/>
      <c r="C28" s="84"/>
      <c r="D28" s="84"/>
      <c r="E28" s="84"/>
      <c r="F28" s="84"/>
      <c r="G28" s="84"/>
      <c r="H28" s="84"/>
      <c r="I28" s="84"/>
      <c r="J28" s="84"/>
      <c r="K28" s="84"/>
      <c r="L28" s="84"/>
    </row>
    <row r="29" spans="1:12" x14ac:dyDescent="0.15">
      <c r="A29" s="84"/>
      <c r="B29" s="84"/>
      <c r="C29" s="84"/>
      <c r="D29" s="84"/>
      <c r="E29" s="84"/>
      <c r="F29" s="84"/>
      <c r="G29" s="84"/>
      <c r="H29" s="84"/>
      <c r="I29" s="84"/>
      <c r="J29" s="84"/>
      <c r="K29" s="84"/>
      <c r="L29" s="84"/>
    </row>
    <row r="30" spans="1:12" ht="13.5" customHeight="1" x14ac:dyDescent="0.15">
      <c r="A30" s="84"/>
      <c r="B30" s="84"/>
      <c r="C30" s="84"/>
      <c r="D30" s="84"/>
      <c r="E30" s="84"/>
      <c r="F30" s="84"/>
      <c r="G30" s="84"/>
      <c r="H30" s="84"/>
      <c r="I30" s="84"/>
      <c r="J30" s="84"/>
      <c r="K30" s="84"/>
      <c r="L30" s="84"/>
    </row>
    <row r="31" spans="1:12" x14ac:dyDescent="0.15">
      <c r="A31" s="84"/>
      <c r="B31" s="84"/>
      <c r="C31" s="84"/>
      <c r="D31" s="84"/>
      <c r="E31" s="84"/>
      <c r="F31" s="84"/>
      <c r="G31" s="84"/>
      <c r="H31" s="84"/>
      <c r="I31" s="84"/>
      <c r="J31" s="84"/>
      <c r="K31" s="84"/>
      <c r="L31" s="84"/>
    </row>
    <row r="32" spans="1:12" ht="13.5" customHeight="1" x14ac:dyDescent="0.15"/>
    <row r="34" ht="13.5" customHeight="1" x14ac:dyDescent="0.15"/>
    <row r="36" ht="13.5" customHeight="1" x14ac:dyDescent="0.15"/>
    <row r="38" ht="13.5" customHeight="1" x14ac:dyDescent="0.15"/>
    <row r="40" ht="13.5" customHeight="1" x14ac:dyDescent="0.15"/>
    <row r="42" ht="13.5" customHeight="1" x14ac:dyDescent="0.15"/>
    <row r="44" ht="13.5" customHeight="1" x14ac:dyDescent="0.15"/>
    <row r="46" ht="13.5" customHeight="1" x14ac:dyDescent="0.15"/>
    <row r="48" ht="13.5" customHeight="1" x14ac:dyDescent="0.15"/>
    <row r="50" ht="13.5" customHeight="1" x14ac:dyDescent="0.15"/>
    <row r="52" ht="13.5" customHeight="1" x14ac:dyDescent="0.15"/>
    <row r="54" ht="13.5" customHeight="1" x14ac:dyDescent="0.15"/>
    <row r="56" ht="13.5" customHeight="1" x14ac:dyDescent="0.15"/>
  </sheetData>
  <sheetProtection algorithmName="SHA-512" hashValue="wHbff82AyazdRp52p9X9SKgIkL65RvJpS6Xri3tmM/fdCAexJWO00wLLa8bDxLu8/+L1UJGm1v4cAAcWMOljxw==" saltValue="hmO0cvwMt5Ti05j8AP37TQ==" spinCount="100000" sheet="1" selectLockedCells="1"/>
  <mergeCells count="12">
    <mergeCell ref="B5:D5"/>
    <mergeCell ref="B8:D8"/>
    <mergeCell ref="B7:D7"/>
    <mergeCell ref="B6:D6"/>
    <mergeCell ref="G17:H17"/>
    <mergeCell ref="B9:D9"/>
    <mergeCell ref="B10:D10"/>
    <mergeCell ref="F12:F13"/>
    <mergeCell ref="B15:C17"/>
    <mergeCell ref="B12:C13"/>
    <mergeCell ref="D12:E12"/>
    <mergeCell ref="D13:E13"/>
  </mergeCells>
  <phoneticPr fontId="2"/>
  <dataValidations count="3">
    <dataValidation type="list" allowBlank="1" showInputMessage="1" showErrorMessage="1" sqref="E6" xr:uid="{00000000-0002-0000-0000-000000000000}">
      <formula1>年</formula1>
    </dataValidation>
    <dataValidation type="list" allowBlank="1" showInputMessage="1" showErrorMessage="1" sqref="E7" xr:uid="{00000000-0002-0000-0000-000001000000}">
      <formula1>yn</formula1>
    </dataValidation>
    <dataValidation errorStyle="warning" allowBlank="1" showInputMessage="1" promptTitle="加入年月日は「加入月の1日」を入力してください。" prompt="_x000a_＊2年目の試算の場合は、加入年月日を計算する年度_x000a_　の「4月1日」としてください." sqref="K10" xr:uid="{00000000-0002-0000-0000-000002000000}"/>
  </dataValidations>
  <pageMargins left="0.39370078740157483" right="0.39370078740157483" top="0.39370078740157483" bottom="0.3937007874015748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5"/>
  <sheetViews>
    <sheetView topLeftCell="A25" zoomScale="70" zoomScaleNormal="70" workbookViewId="0">
      <selection activeCell="M44" sqref="M44"/>
    </sheetView>
  </sheetViews>
  <sheetFormatPr defaultColWidth="9.625" defaultRowHeight="13.5" x14ac:dyDescent="0.15"/>
  <cols>
    <col min="1" max="2" width="9.125" style="6" customWidth="1"/>
    <col min="3" max="3" width="3.625" style="6" customWidth="1"/>
    <col min="4" max="4" width="9.125" style="6" customWidth="1"/>
    <col min="5" max="5" width="3.625" style="6" customWidth="1"/>
    <col min="6" max="6" width="9.125" style="6" customWidth="1"/>
    <col min="7" max="7" width="3.625" style="6" customWidth="1"/>
    <col min="8" max="12" width="9.125" style="6" customWidth="1"/>
    <col min="13" max="13" width="15.75" style="6" customWidth="1"/>
    <col min="14" max="14" width="9.125" style="8" customWidth="1"/>
    <col min="15" max="15" width="9.625" style="8"/>
    <col min="16" max="16384" width="9.625" style="6"/>
  </cols>
  <sheetData>
    <row r="1" spans="1:16" x14ac:dyDescent="0.15">
      <c r="A1" s="4" t="s">
        <v>0</v>
      </c>
      <c r="B1" s="5" t="str">
        <f>+'1'!E5</f>
        <v>令和8年度</v>
      </c>
      <c r="D1" s="7" t="s">
        <v>15</v>
      </c>
      <c r="F1" s="7" t="s">
        <v>18</v>
      </c>
      <c r="H1" s="7" t="s">
        <v>34</v>
      </c>
      <c r="I1" s="7" t="s">
        <v>39</v>
      </c>
      <c r="J1" s="7" t="s">
        <v>21</v>
      </c>
      <c r="K1" s="7" t="s">
        <v>22</v>
      </c>
      <c r="L1" s="7" t="s">
        <v>129</v>
      </c>
      <c r="M1" s="4" t="s">
        <v>56</v>
      </c>
    </row>
    <row r="2" spans="1:16" x14ac:dyDescent="0.15">
      <c r="A2" s="4" t="s">
        <v>1</v>
      </c>
      <c r="B2" s="9" t="str">
        <f>+'1'!E6</f>
        <v>1年目</v>
      </c>
      <c r="D2" s="10" t="s">
        <v>17</v>
      </c>
      <c r="F2" s="10" t="s">
        <v>19</v>
      </c>
      <c r="H2" s="7" t="s">
        <v>41</v>
      </c>
      <c r="I2" s="9">
        <v>2009</v>
      </c>
      <c r="J2" s="11">
        <v>74</v>
      </c>
      <c r="K2" s="11">
        <v>8.9600000000000009</v>
      </c>
      <c r="L2" s="11"/>
      <c r="M2" s="12">
        <v>383000</v>
      </c>
      <c r="N2" s="8">
        <f t="shared" ref="N2:N14" si="0">J2/2</f>
        <v>37</v>
      </c>
      <c r="O2" s="8">
        <f t="shared" ref="O2:O14" si="1">K2/2</f>
        <v>4.4800000000000004</v>
      </c>
      <c r="P2" s="6" t="str">
        <f t="shared" ref="P2:P13" si="2">CONCATENATE($I2+1,"/","3/31")</f>
        <v>2010/3/31</v>
      </c>
    </row>
    <row r="3" spans="1:16" x14ac:dyDescent="0.15">
      <c r="A3" s="4" t="s">
        <v>2</v>
      </c>
      <c r="B3" s="3">
        <f>IF('1'!E7="no",0,1)</f>
        <v>1</v>
      </c>
      <c r="D3" s="10" t="s">
        <v>16</v>
      </c>
      <c r="F3" s="10" t="s">
        <v>20</v>
      </c>
      <c r="H3" s="7" t="s">
        <v>42</v>
      </c>
      <c r="I3" s="13">
        <v>2010</v>
      </c>
      <c r="J3" s="11">
        <v>74</v>
      </c>
      <c r="K3" s="11">
        <v>9.7200000000000006</v>
      </c>
      <c r="L3" s="11"/>
      <c r="M3" s="12">
        <v>378000</v>
      </c>
      <c r="N3" s="8">
        <f t="shared" si="0"/>
        <v>37</v>
      </c>
      <c r="O3" s="8">
        <f t="shared" si="1"/>
        <v>4.8600000000000003</v>
      </c>
      <c r="P3" s="6" t="str">
        <f t="shared" si="2"/>
        <v>2011/3/31</v>
      </c>
    </row>
    <row r="4" spans="1:16" x14ac:dyDescent="0.15">
      <c r="A4" s="4" t="s">
        <v>82</v>
      </c>
      <c r="B4" s="31">
        <f>'1'!E9</f>
        <v>46113</v>
      </c>
      <c r="H4" s="7" t="s">
        <v>43</v>
      </c>
      <c r="I4" s="13">
        <v>2011</v>
      </c>
      <c r="J4" s="11">
        <v>84</v>
      </c>
      <c r="K4" s="11">
        <v>10.48</v>
      </c>
      <c r="L4" s="11"/>
      <c r="M4" s="12">
        <v>375000</v>
      </c>
      <c r="N4" s="8">
        <f t="shared" si="0"/>
        <v>42</v>
      </c>
      <c r="O4" s="8">
        <f t="shared" si="1"/>
        <v>5.24</v>
      </c>
      <c r="P4" s="6" t="str">
        <f t="shared" si="2"/>
        <v>2012/3/31</v>
      </c>
    </row>
    <row r="5" spans="1:16" x14ac:dyDescent="0.15">
      <c r="A5" s="4" t="s">
        <v>67</v>
      </c>
      <c r="B5" s="5">
        <f>IF($B$2="1年目",DATEDIF('1'!E9,'0'!D6+1,"M"),12)</f>
        <v>12</v>
      </c>
      <c r="D5" s="7" t="s">
        <v>81</v>
      </c>
      <c r="H5" s="7" t="s">
        <v>44</v>
      </c>
      <c r="I5" s="13">
        <v>2012</v>
      </c>
      <c r="J5" s="11">
        <v>96.75</v>
      </c>
      <c r="K5" s="11">
        <v>10.76</v>
      </c>
      <c r="L5" s="11"/>
      <c r="M5" s="12">
        <v>373000</v>
      </c>
      <c r="N5" s="8">
        <f t="shared" si="0"/>
        <v>48.375</v>
      </c>
      <c r="O5" s="8">
        <f t="shared" si="1"/>
        <v>5.38</v>
      </c>
      <c r="P5" s="6" t="str">
        <f t="shared" si="2"/>
        <v>2013/3/31</v>
      </c>
    </row>
    <row r="6" spans="1:16" x14ac:dyDescent="0.15">
      <c r="A6" s="4" t="s">
        <v>57</v>
      </c>
      <c r="B6" s="4">
        <f>+'1'!E8</f>
        <v>440000</v>
      </c>
      <c r="D6" s="28">
        <f>IF(B1="令和８年度",P19,VALUE(VLOOKUP($B$1,$H$2:$P$29,9,0)))</f>
        <v>46477</v>
      </c>
      <c r="H6" s="7" t="s">
        <v>45</v>
      </c>
      <c r="I6" s="9">
        <v>2013</v>
      </c>
      <c r="J6" s="11">
        <v>101.5</v>
      </c>
      <c r="K6" s="11">
        <v>12.2</v>
      </c>
      <c r="L6" s="11"/>
      <c r="M6" s="12">
        <v>372000</v>
      </c>
      <c r="N6" s="8">
        <f t="shared" si="0"/>
        <v>50.75</v>
      </c>
      <c r="O6" s="8">
        <f t="shared" si="1"/>
        <v>6.1</v>
      </c>
      <c r="P6" s="6" t="str">
        <f t="shared" si="2"/>
        <v>2014/3/31</v>
      </c>
    </row>
    <row r="7" spans="1:16" x14ac:dyDescent="0.15">
      <c r="A7" s="4" t="str">
        <f>IF(AND(B5&gt;=15,B4&gt;=55),"特例該当","特例非該当")</f>
        <v>特例非該当</v>
      </c>
      <c r="B7" s="22"/>
      <c r="D7" s="23"/>
      <c r="H7" s="7" t="s">
        <v>46</v>
      </c>
      <c r="I7" s="9">
        <v>2014</v>
      </c>
      <c r="J7" s="11">
        <v>101.5</v>
      </c>
      <c r="K7" s="11">
        <v>12.16</v>
      </c>
      <c r="L7" s="11"/>
      <c r="M7" s="12">
        <v>355000</v>
      </c>
      <c r="N7" s="8">
        <f t="shared" si="0"/>
        <v>50.75</v>
      </c>
      <c r="O7" s="8">
        <f t="shared" si="1"/>
        <v>6.08</v>
      </c>
      <c r="P7" s="6" t="str">
        <f t="shared" si="2"/>
        <v>2015/3/31</v>
      </c>
    </row>
    <row r="8" spans="1:16" x14ac:dyDescent="0.15">
      <c r="A8" s="4" t="s">
        <v>3</v>
      </c>
      <c r="B8" s="14">
        <f>IF(B1="令和８年度","",VLOOKUP(B1,H2:M29,3,FALSE))</f>
        <v>93.2</v>
      </c>
      <c r="D8" s="110">
        <f>B8+B10</f>
        <v>95.5</v>
      </c>
      <c r="H8" s="7" t="s">
        <v>47</v>
      </c>
      <c r="I8" s="9">
        <v>2015</v>
      </c>
      <c r="J8" s="11">
        <v>86.2</v>
      </c>
      <c r="K8" s="11">
        <v>10.42</v>
      </c>
      <c r="L8" s="11"/>
      <c r="M8" s="12">
        <v>470000</v>
      </c>
      <c r="N8" s="8">
        <f t="shared" si="0"/>
        <v>43.1</v>
      </c>
      <c r="O8" s="8">
        <f t="shared" si="1"/>
        <v>5.21</v>
      </c>
      <c r="P8" s="6" t="str">
        <f t="shared" si="2"/>
        <v>2016/3/31</v>
      </c>
    </row>
    <row r="9" spans="1:16" x14ac:dyDescent="0.15">
      <c r="A9" s="4" t="s">
        <v>4</v>
      </c>
      <c r="B9" s="14">
        <f>IF(B1="令和８年度","",VLOOKUP(B1,H2:M29,4,FALSE))</f>
        <v>15.76</v>
      </c>
      <c r="D9" s="110">
        <f>B8+B10+B9</f>
        <v>111.26</v>
      </c>
      <c r="H9" s="7" t="s">
        <v>48</v>
      </c>
      <c r="I9" s="9">
        <v>2016</v>
      </c>
      <c r="J9" s="11">
        <v>86.2</v>
      </c>
      <c r="K9" s="11">
        <v>10.84</v>
      </c>
      <c r="L9" s="11"/>
      <c r="M9" s="19">
        <v>440000</v>
      </c>
      <c r="N9" s="8">
        <f t="shared" si="0"/>
        <v>43.1</v>
      </c>
      <c r="O9" s="8">
        <f t="shared" si="1"/>
        <v>5.42</v>
      </c>
      <c r="P9" s="6" t="str">
        <f t="shared" si="2"/>
        <v>2017/3/31</v>
      </c>
    </row>
    <row r="10" spans="1:16" x14ac:dyDescent="0.15">
      <c r="A10" s="4" t="s">
        <v>130</v>
      </c>
      <c r="B10" s="14">
        <f>IF(B1="令和８年度","",VLOOKUP(B1,H2:M29,5,FALSE))</f>
        <v>2.2999999999999998</v>
      </c>
      <c r="H10" s="7" t="s">
        <v>49</v>
      </c>
      <c r="I10" s="9">
        <v>2017</v>
      </c>
      <c r="J10" s="24">
        <v>86.2</v>
      </c>
      <c r="K10" s="24">
        <v>11.58</v>
      </c>
      <c r="L10" s="24"/>
      <c r="M10" s="19">
        <v>410000</v>
      </c>
      <c r="N10" s="8">
        <f t="shared" si="0"/>
        <v>43.1</v>
      </c>
      <c r="O10" s="8">
        <f t="shared" si="1"/>
        <v>5.79</v>
      </c>
      <c r="P10" s="6" t="str">
        <f t="shared" si="2"/>
        <v>2018/3/31</v>
      </c>
    </row>
    <row r="11" spans="1:16" x14ac:dyDescent="0.15">
      <c r="A11" s="4" t="s">
        <v>53</v>
      </c>
      <c r="B11" s="3">
        <f>IF(B1="令和８年度","",VLOOKUP(B1,H2:M29,6,FALSE))</f>
        <v>410000</v>
      </c>
      <c r="H11" s="7" t="s">
        <v>50</v>
      </c>
      <c r="I11" s="9">
        <v>2018</v>
      </c>
      <c r="J11" s="11">
        <v>86.2</v>
      </c>
      <c r="K11" s="11">
        <v>11.82</v>
      </c>
      <c r="L11" s="11"/>
      <c r="M11" s="12">
        <v>410000</v>
      </c>
      <c r="N11" s="8">
        <f t="shared" si="0"/>
        <v>43.1</v>
      </c>
      <c r="O11" s="8">
        <f t="shared" si="1"/>
        <v>5.91</v>
      </c>
      <c r="P11" s="6" t="str">
        <f t="shared" si="2"/>
        <v>2019/3/31</v>
      </c>
    </row>
    <row r="12" spans="1:16" x14ac:dyDescent="0.15">
      <c r="A12" s="4" t="s">
        <v>5</v>
      </c>
      <c r="B12" s="3">
        <f>IF(B1="令和8年度",IF(B6&lt;M20,B6,M20),IF(B6&lt;B11,B6,B11))</f>
        <v>410000</v>
      </c>
      <c r="D12" s="30"/>
      <c r="H12" s="7" t="s">
        <v>51</v>
      </c>
      <c r="I12" s="9">
        <v>2019</v>
      </c>
      <c r="J12" s="11">
        <v>84.2</v>
      </c>
      <c r="K12" s="11">
        <v>13.5</v>
      </c>
      <c r="L12" s="11"/>
      <c r="M12" s="12">
        <v>410000</v>
      </c>
      <c r="N12" s="8">
        <f t="shared" si="0"/>
        <v>42.1</v>
      </c>
      <c r="O12" s="8">
        <f t="shared" si="1"/>
        <v>6.75</v>
      </c>
      <c r="P12" s="6" t="str">
        <f t="shared" si="2"/>
        <v>2020/3/31</v>
      </c>
    </row>
    <row r="13" spans="1:16" x14ac:dyDescent="0.15">
      <c r="A13" s="4" t="s">
        <v>6</v>
      </c>
      <c r="B13" s="15">
        <f>B28</f>
        <v>10.7869636</v>
      </c>
      <c r="H13" s="7" t="s">
        <v>62</v>
      </c>
      <c r="I13" s="9">
        <v>2020</v>
      </c>
      <c r="J13" s="11">
        <v>84.2</v>
      </c>
      <c r="K13" s="11">
        <v>14.98</v>
      </c>
      <c r="L13" s="11"/>
      <c r="M13" s="12">
        <v>410000</v>
      </c>
      <c r="N13" s="8">
        <f t="shared" si="0"/>
        <v>42.1</v>
      </c>
      <c r="O13" s="8">
        <f t="shared" si="1"/>
        <v>7.49</v>
      </c>
      <c r="P13" s="6" t="str">
        <f t="shared" si="2"/>
        <v>2021/3/31</v>
      </c>
    </row>
    <row r="14" spans="1:16" x14ac:dyDescent="0.15">
      <c r="A14" s="4" t="s">
        <v>7</v>
      </c>
      <c r="B14" s="15">
        <f>B29</f>
        <v>11.748502</v>
      </c>
      <c r="H14" s="7" t="s">
        <v>63</v>
      </c>
      <c r="I14" s="9">
        <v>2021</v>
      </c>
      <c r="J14" s="11">
        <v>84.2</v>
      </c>
      <c r="K14" s="11">
        <v>17.8</v>
      </c>
      <c r="L14" s="11"/>
      <c r="M14" s="12">
        <v>410000</v>
      </c>
      <c r="N14" s="8">
        <f t="shared" si="0"/>
        <v>42.1</v>
      </c>
      <c r="O14" s="8">
        <f t="shared" si="1"/>
        <v>8.9</v>
      </c>
      <c r="P14" s="6" t="str">
        <f>CONCATENATE($I14+1,"/","3/31")</f>
        <v>2022/3/31</v>
      </c>
    </row>
    <row r="15" spans="1:16" x14ac:dyDescent="0.15">
      <c r="A15" s="4" t="s">
        <v>8</v>
      </c>
      <c r="B15" s="15">
        <f>B22</f>
        <v>4.9512666000000003</v>
      </c>
      <c r="H15" s="7" t="s">
        <v>87</v>
      </c>
      <c r="I15" s="9">
        <v>2022</v>
      </c>
      <c r="J15" s="20">
        <v>84.2</v>
      </c>
      <c r="K15" s="20">
        <v>17.64</v>
      </c>
      <c r="L15" s="20"/>
      <c r="M15" s="21">
        <v>410000</v>
      </c>
      <c r="N15" s="8">
        <f t="shared" ref="N15:N29" si="3">J15/2</f>
        <v>42.1</v>
      </c>
      <c r="O15" s="8">
        <f t="shared" ref="O15:O29" si="4">K15/2</f>
        <v>8.82</v>
      </c>
      <c r="P15" s="6" t="str">
        <f>CONCATENATE($I15+1,"/","3/31")</f>
        <v>2023/3/31</v>
      </c>
    </row>
    <row r="16" spans="1:16" x14ac:dyDescent="0.15">
      <c r="A16" s="4" t="s">
        <v>9</v>
      </c>
      <c r="B16" s="15">
        <f>B23</f>
        <v>5.9318472</v>
      </c>
      <c r="H16" s="7" t="s">
        <v>88</v>
      </c>
      <c r="I16" s="9">
        <v>2022</v>
      </c>
      <c r="J16" s="33">
        <v>93.2</v>
      </c>
      <c r="K16" s="20">
        <v>17.64</v>
      </c>
      <c r="L16" s="20"/>
      <c r="M16" s="21">
        <v>410000</v>
      </c>
      <c r="N16" s="8">
        <f>J16/2</f>
        <v>46.6</v>
      </c>
      <c r="O16" s="8">
        <f>K16/2</f>
        <v>8.82</v>
      </c>
      <c r="P16" s="6" t="str">
        <f>CONCATENATE($I16+1,"/","3/31")</f>
        <v>2023/3/31</v>
      </c>
    </row>
    <row r="17" spans="1:16" x14ac:dyDescent="0.15">
      <c r="B17" s="6" t="s">
        <v>85</v>
      </c>
      <c r="D17" s="6" t="s">
        <v>86</v>
      </c>
      <c r="H17" s="7" t="s">
        <v>68</v>
      </c>
      <c r="I17" s="9">
        <v>2023</v>
      </c>
      <c r="J17" s="11">
        <v>93.2</v>
      </c>
      <c r="K17" s="11">
        <v>16</v>
      </c>
      <c r="L17" s="11"/>
      <c r="M17" s="12">
        <v>410000</v>
      </c>
      <c r="N17" s="8">
        <f t="shared" si="3"/>
        <v>46.6</v>
      </c>
      <c r="O17" s="8">
        <f t="shared" si="4"/>
        <v>8</v>
      </c>
      <c r="P17" s="6" t="str">
        <f t="shared" ref="P17:P29" si="5">CONCATENATE($I17+1,"/","3/31")</f>
        <v>2024/3/31</v>
      </c>
    </row>
    <row r="18" spans="1:16" x14ac:dyDescent="0.15">
      <c r="A18" s="34">
        <v>1</v>
      </c>
      <c r="B18" s="26">
        <v>0.99673690000000004</v>
      </c>
      <c r="D18" s="26">
        <v>1.0032737</v>
      </c>
      <c r="H18" s="7" t="s">
        <v>69</v>
      </c>
      <c r="I18" s="9">
        <v>2024</v>
      </c>
      <c r="J18" s="11">
        <v>93.2</v>
      </c>
      <c r="K18" s="11">
        <v>15.92</v>
      </c>
      <c r="L18" s="11"/>
      <c r="M18" s="12">
        <v>380000</v>
      </c>
      <c r="N18" s="8">
        <f t="shared" si="3"/>
        <v>46.6</v>
      </c>
      <c r="O18" s="8">
        <f t="shared" si="4"/>
        <v>7.96</v>
      </c>
      <c r="P18" s="6" t="str">
        <f t="shared" si="5"/>
        <v>2025/3/31</v>
      </c>
    </row>
    <row r="19" spans="1:16" x14ac:dyDescent="0.15">
      <c r="A19" s="34">
        <v>2</v>
      </c>
      <c r="B19" s="26">
        <v>1.9902215000000001</v>
      </c>
      <c r="D19" s="26">
        <v>1.0065582</v>
      </c>
      <c r="H19" s="7" t="s">
        <v>70</v>
      </c>
      <c r="I19" s="9">
        <v>2025</v>
      </c>
      <c r="J19" s="11">
        <v>93.2</v>
      </c>
      <c r="K19" s="11">
        <v>16.079999999999998</v>
      </c>
      <c r="L19" s="11"/>
      <c r="M19" s="12">
        <v>380000</v>
      </c>
      <c r="N19" s="8">
        <f t="shared" si="3"/>
        <v>46.6</v>
      </c>
      <c r="O19" s="8">
        <f t="shared" si="4"/>
        <v>8.0399999999999991</v>
      </c>
      <c r="P19" s="6" t="str">
        <f t="shared" si="5"/>
        <v>2026/3/31</v>
      </c>
    </row>
    <row r="20" spans="1:16" x14ac:dyDescent="0.15">
      <c r="A20" s="34">
        <v>3</v>
      </c>
      <c r="B20" s="26">
        <v>2.9804642000000001</v>
      </c>
      <c r="D20" s="26">
        <v>1.0098533999999999</v>
      </c>
      <c r="H20" s="7" t="s">
        <v>71</v>
      </c>
      <c r="I20" s="9">
        <v>2026</v>
      </c>
      <c r="J20" s="11">
        <v>93.2</v>
      </c>
      <c r="K20" s="11">
        <v>15.76</v>
      </c>
      <c r="L20" s="11">
        <v>2.2999999999999998</v>
      </c>
      <c r="M20" s="12">
        <v>410000</v>
      </c>
      <c r="N20" s="8">
        <f t="shared" si="3"/>
        <v>46.6</v>
      </c>
      <c r="O20" s="8">
        <f t="shared" si="4"/>
        <v>7.88</v>
      </c>
      <c r="P20" s="6" t="str">
        <f t="shared" si="5"/>
        <v>2027/3/31</v>
      </c>
    </row>
    <row r="21" spans="1:16" x14ac:dyDescent="0.15">
      <c r="A21" s="34">
        <v>4</v>
      </c>
      <c r="B21" s="26">
        <v>3.9674757</v>
      </c>
      <c r="D21" s="26">
        <v>1.0131593999999999</v>
      </c>
      <c r="H21" s="7" t="s">
        <v>72</v>
      </c>
      <c r="I21" s="9">
        <v>2027</v>
      </c>
      <c r="J21" s="11"/>
      <c r="K21" s="11"/>
      <c r="L21" s="11"/>
      <c r="M21" s="12"/>
      <c r="N21" s="8">
        <f t="shared" si="3"/>
        <v>0</v>
      </c>
      <c r="O21" s="8">
        <f t="shared" si="4"/>
        <v>0</v>
      </c>
      <c r="P21" s="6" t="str">
        <f t="shared" si="5"/>
        <v>2028/3/31</v>
      </c>
    </row>
    <row r="22" spans="1:16" x14ac:dyDescent="0.15">
      <c r="A22" s="34">
        <v>5</v>
      </c>
      <c r="B22" s="26">
        <v>4.9512666000000003</v>
      </c>
      <c r="D22" s="26">
        <v>1.0164762000000001</v>
      </c>
      <c r="H22" s="7" t="s">
        <v>73</v>
      </c>
      <c r="I22" s="9">
        <v>2028</v>
      </c>
      <c r="J22" s="11"/>
      <c r="K22" s="11"/>
      <c r="L22" s="11"/>
      <c r="M22" s="12"/>
      <c r="N22" s="8">
        <f t="shared" si="3"/>
        <v>0</v>
      </c>
      <c r="O22" s="8">
        <f t="shared" si="4"/>
        <v>0</v>
      </c>
      <c r="P22" s="6" t="str">
        <f t="shared" si="5"/>
        <v>2029/3/31</v>
      </c>
    </row>
    <row r="23" spans="1:16" x14ac:dyDescent="0.15">
      <c r="A23" s="34">
        <v>6</v>
      </c>
      <c r="B23" s="26">
        <v>5.9318472</v>
      </c>
      <c r="D23" s="26">
        <v>1.0198039000000001</v>
      </c>
      <c r="H23" s="7" t="s">
        <v>74</v>
      </c>
      <c r="I23" s="9">
        <v>2029</v>
      </c>
      <c r="J23" s="11"/>
      <c r="K23" s="11"/>
      <c r="L23" s="11"/>
      <c r="M23" s="12"/>
      <c r="N23" s="8">
        <f t="shared" si="3"/>
        <v>0</v>
      </c>
      <c r="O23" s="8">
        <f t="shared" si="4"/>
        <v>0</v>
      </c>
      <c r="P23" s="6" t="str">
        <f t="shared" si="5"/>
        <v>2030/3/31</v>
      </c>
    </row>
    <row r="24" spans="1:16" x14ac:dyDescent="0.15">
      <c r="A24" s="34">
        <v>7</v>
      </c>
      <c r="B24" s="26">
        <v>6.9092282000000003</v>
      </c>
      <c r="D24" s="26">
        <v>1.0231425000000001</v>
      </c>
      <c r="H24" s="7" t="s">
        <v>75</v>
      </c>
      <c r="I24" s="9">
        <v>2030</v>
      </c>
      <c r="J24" s="11"/>
      <c r="K24" s="11"/>
      <c r="L24" s="11"/>
      <c r="M24" s="12"/>
      <c r="N24" s="8">
        <f t="shared" si="3"/>
        <v>0</v>
      </c>
      <c r="O24" s="8">
        <f t="shared" si="4"/>
        <v>0</v>
      </c>
      <c r="P24" s="6" t="str">
        <f t="shared" si="5"/>
        <v>2031/3/31</v>
      </c>
    </row>
    <row r="25" spans="1:16" x14ac:dyDescent="0.15">
      <c r="A25" s="34">
        <v>8</v>
      </c>
      <c r="B25" s="26">
        <v>7.8834200000000001</v>
      </c>
      <c r="D25" s="26">
        <v>1.026492</v>
      </c>
      <c r="H25" s="7" t="s">
        <v>76</v>
      </c>
      <c r="I25" s="9">
        <v>2031</v>
      </c>
      <c r="J25" s="11"/>
      <c r="K25" s="11"/>
      <c r="L25" s="11"/>
      <c r="M25" s="12"/>
      <c r="N25" s="8">
        <f t="shared" si="3"/>
        <v>0</v>
      </c>
      <c r="O25" s="8">
        <f t="shared" si="4"/>
        <v>0</v>
      </c>
      <c r="P25" s="6" t="str">
        <f t="shared" si="5"/>
        <v>2032/3/31</v>
      </c>
    </row>
    <row r="26" spans="1:16" x14ac:dyDescent="0.15">
      <c r="A26" s="34">
        <v>9</v>
      </c>
      <c r="B26" s="26">
        <v>8.8544329000000008</v>
      </c>
      <c r="D26" s="26">
        <v>1.0298524</v>
      </c>
      <c r="H26" s="7" t="s">
        <v>77</v>
      </c>
      <c r="I26" s="9">
        <v>2032</v>
      </c>
      <c r="J26" s="11"/>
      <c r="K26" s="11"/>
      <c r="L26" s="11"/>
      <c r="M26" s="12"/>
      <c r="N26" s="8">
        <f t="shared" si="3"/>
        <v>0</v>
      </c>
      <c r="O26" s="8">
        <f t="shared" si="4"/>
        <v>0</v>
      </c>
      <c r="P26" s="6" t="str">
        <f t="shared" si="5"/>
        <v>2033/3/31</v>
      </c>
    </row>
    <row r="27" spans="1:16" x14ac:dyDescent="0.15">
      <c r="A27" s="34">
        <v>10</v>
      </c>
      <c r="B27" s="26">
        <v>9.8222772999999997</v>
      </c>
      <c r="D27" s="26">
        <v>1.0332239000000001</v>
      </c>
      <c r="H27" s="7" t="s">
        <v>78</v>
      </c>
      <c r="I27" s="9">
        <v>2033</v>
      </c>
      <c r="J27" s="11"/>
      <c r="K27" s="11"/>
      <c r="L27" s="11"/>
      <c r="M27" s="12"/>
      <c r="N27" s="8">
        <f t="shared" si="3"/>
        <v>0</v>
      </c>
      <c r="O27" s="8">
        <f t="shared" si="4"/>
        <v>0</v>
      </c>
      <c r="P27" s="6" t="str">
        <f t="shared" si="5"/>
        <v>2034/3/31</v>
      </c>
    </row>
    <row r="28" spans="1:16" x14ac:dyDescent="0.15">
      <c r="A28" s="34">
        <v>11</v>
      </c>
      <c r="B28" s="26">
        <v>10.7869636</v>
      </c>
      <c r="D28" s="26">
        <v>1.0366063999999999</v>
      </c>
      <c r="H28" s="7" t="s">
        <v>79</v>
      </c>
      <c r="I28" s="9">
        <v>2034</v>
      </c>
      <c r="J28" s="11"/>
      <c r="K28" s="11"/>
      <c r="L28" s="11"/>
      <c r="M28" s="12"/>
      <c r="N28" s="8">
        <f t="shared" si="3"/>
        <v>0</v>
      </c>
      <c r="O28" s="8">
        <f t="shared" si="4"/>
        <v>0</v>
      </c>
      <c r="P28" s="6" t="str">
        <f t="shared" si="5"/>
        <v>2035/3/31</v>
      </c>
    </row>
    <row r="29" spans="1:16" x14ac:dyDescent="0.15">
      <c r="A29" s="34">
        <v>12</v>
      </c>
      <c r="B29" s="25">
        <v>11.748502</v>
      </c>
      <c r="C29" s="17"/>
      <c r="D29" s="26">
        <v>1.04</v>
      </c>
      <c r="E29" s="17"/>
      <c r="G29" s="17"/>
      <c r="H29" s="7" t="s">
        <v>80</v>
      </c>
      <c r="I29" s="9">
        <v>2035</v>
      </c>
      <c r="J29" s="11"/>
      <c r="K29" s="11"/>
      <c r="L29" s="11"/>
      <c r="M29" s="12"/>
      <c r="N29" s="8">
        <f t="shared" si="3"/>
        <v>0</v>
      </c>
      <c r="O29" s="8">
        <f t="shared" si="4"/>
        <v>0</v>
      </c>
      <c r="P29" s="6" t="str">
        <f t="shared" si="5"/>
        <v>2036/3/31</v>
      </c>
    </row>
    <row r="33" spans="1:8" x14ac:dyDescent="0.15">
      <c r="A33" s="6" t="s">
        <v>29</v>
      </c>
      <c r="B33" s="16" t="s">
        <v>10</v>
      </c>
      <c r="D33" s="16" t="s">
        <v>11</v>
      </c>
      <c r="F33" s="16" t="s">
        <v>12</v>
      </c>
    </row>
    <row r="34" spans="1:8" x14ac:dyDescent="0.15">
      <c r="B34" s="6">
        <f>IF(B1="令和８年度","",+B12)</f>
        <v>410000</v>
      </c>
      <c r="C34" s="17" t="s">
        <v>36</v>
      </c>
      <c r="D34" s="8">
        <f>+B8+B10</f>
        <v>95.5</v>
      </c>
      <c r="E34" s="17" t="s">
        <v>37</v>
      </c>
      <c r="F34" s="6">
        <f>IFERROR(TRUNC(B34*D34/1000),"")</f>
        <v>39155</v>
      </c>
    </row>
    <row r="36" spans="1:8" x14ac:dyDescent="0.15">
      <c r="B36" s="16" t="s">
        <v>10</v>
      </c>
      <c r="D36" s="16" t="s">
        <v>13</v>
      </c>
      <c r="F36" s="16" t="s">
        <v>14</v>
      </c>
    </row>
    <row r="37" spans="1:8" x14ac:dyDescent="0.15">
      <c r="B37" s="6">
        <f>IF(B1="令和８年度","",IF(B3=1,B12,0))</f>
        <v>410000</v>
      </c>
      <c r="C37" s="17" t="s">
        <v>36</v>
      </c>
      <c r="D37" s="8">
        <f>+B9</f>
        <v>15.76</v>
      </c>
      <c r="E37" s="17" t="s">
        <v>37</v>
      </c>
      <c r="F37" s="6">
        <f>IFERROR(TRUNC(B37*D37/1000),"")</f>
        <v>6461</v>
      </c>
    </row>
    <row r="38" spans="1:8" x14ac:dyDescent="0.15">
      <c r="H38" s="16" t="s">
        <v>23</v>
      </c>
    </row>
    <row r="39" spans="1:8" x14ac:dyDescent="0.15">
      <c r="A39" s="6" t="s">
        <v>91</v>
      </c>
      <c r="B39" s="16" t="s">
        <v>12</v>
      </c>
      <c r="D39" s="29">
        <f>IFERROR(IF($B$2="1年目",VLOOKUP($B$5-1,$A$18:$B$29,1,0),$A$14),0)</f>
        <v>11</v>
      </c>
      <c r="F39" s="16" t="str">
        <f>IF($B$2="1年目","初月分","")</f>
        <v>初月分</v>
      </c>
      <c r="H39" s="6">
        <f>IFERROR(ROUND(B40*D40,0)+F40,0)</f>
        <v>461519</v>
      </c>
    </row>
    <row r="40" spans="1:8" x14ac:dyDescent="0.15">
      <c r="B40" s="6">
        <f>+$F$34</f>
        <v>39155</v>
      </c>
      <c r="C40" s="17" t="s">
        <v>36</v>
      </c>
      <c r="D40" s="18">
        <f>IFERROR(IF($B$2="1年目",VLOOKUP($B$5-1,$A$18:$B$29,2,0),$B$29),0)</f>
        <v>10.7869636</v>
      </c>
      <c r="E40" s="17" t="s">
        <v>38</v>
      </c>
      <c r="F40" s="6">
        <f>IFERROR(IF($B$2="1年目",$F$34,0),0)</f>
        <v>39155</v>
      </c>
      <c r="G40" s="17" t="s">
        <v>37</v>
      </c>
    </row>
    <row r="41" spans="1:8" x14ac:dyDescent="0.15">
      <c r="H41" s="16" t="s">
        <v>24</v>
      </c>
    </row>
    <row r="42" spans="1:8" x14ac:dyDescent="0.15">
      <c r="B42" s="16" t="s">
        <v>14</v>
      </c>
      <c r="D42" s="29">
        <f>IFERROR(IF($B$2="1年目",VLOOKUP($B$5-1,$A$18:$B$29,1,0),$A$14),0)</f>
        <v>11</v>
      </c>
      <c r="F42" s="16" t="str">
        <f>IF($B$2="1年目","初月分","")</f>
        <v>初月分</v>
      </c>
      <c r="H42" s="6">
        <f>IFERROR(ROUND(B43*D43,0)+F43,0)</f>
        <v>76156</v>
      </c>
    </row>
    <row r="43" spans="1:8" x14ac:dyDescent="0.15">
      <c r="B43" s="6">
        <f>+$F$37</f>
        <v>6461</v>
      </c>
      <c r="C43" s="17" t="s">
        <v>36</v>
      </c>
      <c r="D43" s="18">
        <f>IFERROR(IF($B$2="1年目",VLOOKUP($B$5-1,$A$18:$B$29,2,0),$B$29),0)</f>
        <v>10.7869636</v>
      </c>
      <c r="E43" s="17" t="s">
        <v>38</v>
      </c>
      <c r="F43" s="6">
        <f>IFERROR(IF($B$2="1年目",$F$37,0),0)</f>
        <v>6461</v>
      </c>
      <c r="G43" s="17" t="s">
        <v>37</v>
      </c>
    </row>
    <row r="44" spans="1:8" x14ac:dyDescent="0.15">
      <c r="H44" s="16" t="s">
        <v>25</v>
      </c>
    </row>
    <row r="45" spans="1:8" x14ac:dyDescent="0.15">
      <c r="A45" s="6" t="s">
        <v>92</v>
      </c>
      <c r="B45" s="16" t="s">
        <v>12</v>
      </c>
      <c r="D45" s="29">
        <f>IFERROR(IF(AND($B$2="1年目",$B$5&gt;6),VLOOKUP($B$5-7,$A$18:$B$29,1,0),IF(AND($B$2="1年目",$B$5&lt;=6),VLOOKUP($B$5-1,$A$18:$B$29,1,0),$A$23)),0)</f>
        <v>5</v>
      </c>
      <c r="F45" s="16" t="str">
        <f>IF($B$2="1年目","初月分","")</f>
        <v>初月分</v>
      </c>
      <c r="H45" s="6">
        <f>IFERROR(ROUND(B46*D46,0)+F46,0)</f>
        <v>233022</v>
      </c>
    </row>
    <row r="46" spans="1:8" x14ac:dyDescent="0.15">
      <c r="B46" s="6">
        <f>+$F$34</f>
        <v>39155</v>
      </c>
      <c r="C46" s="17" t="s">
        <v>36</v>
      </c>
      <c r="D46" s="18">
        <f>IFERROR(IF(AND($B$2="1年目",$B$5&gt;6),VLOOKUP($B$5-7,$A$18:$B$29,2,0),IF(AND($B$2="1年目",$B$5&lt;=6),VLOOKUP($B$5-1,$A$18:$B$29,2,0),$B$23)),0)</f>
        <v>4.9512666000000003</v>
      </c>
      <c r="E46" s="17" t="s">
        <v>38</v>
      </c>
      <c r="F46" s="6">
        <f>IF($B$2="1年目",$F$34,0)</f>
        <v>39155</v>
      </c>
      <c r="G46" s="17" t="s">
        <v>37</v>
      </c>
    </row>
    <row r="47" spans="1:8" x14ac:dyDescent="0.15">
      <c r="H47" s="16" t="s">
        <v>26</v>
      </c>
    </row>
    <row r="48" spans="1:8" x14ac:dyDescent="0.15">
      <c r="B48" s="16" t="s">
        <v>14</v>
      </c>
      <c r="D48" s="29">
        <f>IFERROR(IF(AND($B$2="1年目",$B$5&gt;6),VLOOKUP($B$5-7,$A$18:$B$29,1,0),IF(AND($B$2="1年目",$B$5&lt;=6),VLOOKUP($B$5-1,$A$18:$B$29,1,0),$A$23)),0)</f>
        <v>5</v>
      </c>
      <c r="F48" s="16" t="str">
        <f>IF($B$2="1年目","初月分","")</f>
        <v>初月分</v>
      </c>
      <c r="H48" s="6">
        <f>IFERROR(ROUND(B49*D49,0)+F49,0)</f>
        <v>38451</v>
      </c>
    </row>
    <row r="49" spans="1:19" x14ac:dyDescent="0.15">
      <c r="B49" s="6">
        <f>+$F$37</f>
        <v>6461</v>
      </c>
      <c r="C49" s="17" t="s">
        <v>36</v>
      </c>
      <c r="D49" s="18">
        <f>IFERROR(IF(AND($B$2="1年目",$B$5&gt;6),VLOOKUP($B$5-7,$A$18:$B$29,2,0),IF(AND($B$2="1年目",$B$5&lt;=6),VLOOKUP($B$5-1,$A$18:$B$29,2,0),$B$23)),0)</f>
        <v>4.9512666000000003</v>
      </c>
      <c r="E49" s="17" t="s">
        <v>38</v>
      </c>
      <c r="F49" s="6">
        <f>IF($B$2="1年目",$F$37,0)</f>
        <v>6461</v>
      </c>
      <c r="G49" s="17" t="s">
        <v>37</v>
      </c>
    </row>
    <row r="50" spans="1:19" x14ac:dyDescent="0.15">
      <c r="H50" s="16" t="s">
        <v>27</v>
      </c>
    </row>
    <row r="51" spans="1:19" x14ac:dyDescent="0.15">
      <c r="B51" s="16" t="s">
        <v>12</v>
      </c>
      <c r="D51" s="29">
        <f>IF(AND($B$2="1年目",$B$5&lt;=6),0,$A$23)</f>
        <v>6</v>
      </c>
      <c r="H51" s="6">
        <f>IFERROR(ROUND(B52*D52,0),0)</f>
        <v>232261</v>
      </c>
    </row>
    <row r="52" spans="1:19" x14ac:dyDescent="0.15">
      <c r="B52" s="6">
        <f>+$F$34</f>
        <v>39155</v>
      </c>
      <c r="C52" s="17" t="s">
        <v>36</v>
      </c>
      <c r="D52" s="18">
        <f>IF(AND($B$2="1年目",$B$5&lt;=6),0,$B$23)</f>
        <v>5.9318472</v>
      </c>
      <c r="E52" s="17"/>
      <c r="G52" s="17" t="s">
        <v>37</v>
      </c>
    </row>
    <row r="53" spans="1:19" x14ac:dyDescent="0.15">
      <c r="H53" s="16" t="s">
        <v>28</v>
      </c>
    </row>
    <row r="54" spans="1:19" x14ac:dyDescent="0.15">
      <c r="B54" s="16" t="s">
        <v>14</v>
      </c>
      <c r="D54" s="29">
        <f>IF(AND($B$2="1年目",$B$5&lt;=6),0,$A$23)</f>
        <v>6</v>
      </c>
      <c r="H54" s="6">
        <f>IFERROR(ROUND(B55*D55,0),0)</f>
        <v>38326</v>
      </c>
    </row>
    <row r="55" spans="1:19" x14ac:dyDescent="0.15">
      <c r="B55" s="6">
        <f>+$F$37</f>
        <v>6461</v>
      </c>
      <c r="C55" s="17" t="s">
        <v>36</v>
      </c>
      <c r="D55" s="18">
        <f>IF(AND($B$2="1年目",$B$5&lt;=6),0,$B$23)</f>
        <v>5.9318472</v>
      </c>
      <c r="E55" s="17"/>
      <c r="G55" s="17" t="s">
        <v>37</v>
      </c>
    </row>
    <row r="56" spans="1:19" x14ac:dyDescent="0.15">
      <c r="C56" s="17"/>
      <c r="E56" s="17"/>
      <c r="G56" s="17"/>
    </row>
    <row r="57" spans="1:19" x14ac:dyDescent="0.15">
      <c r="K57" s="42"/>
      <c r="L57" s="46" t="s">
        <v>96</v>
      </c>
      <c r="M57" s="131" t="s">
        <v>95</v>
      </c>
      <c r="N57" s="131"/>
      <c r="O57" s="131"/>
      <c r="P57" s="132" t="s">
        <v>92</v>
      </c>
      <c r="Q57" s="133"/>
      <c r="R57" s="40"/>
    </row>
    <row r="58" spans="1:19" x14ac:dyDescent="0.15">
      <c r="A58" s="6" t="s">
        <v>128</v>
      </c>
      <c r="K58" s="43"/>
      <c r="L58" s="46" t="s">
        <v>93</v>
      </c>
      <c r="M58" s="46" t="s">
        <v>94</v>
      </c>
      <c r="N58" s="109"/>
      <c r="O58" s="39" t="s">
        <v>97</v>
      </c>
      <c r="P58" s="46" t="s">
        <v>94</v>
      </c>
      <c r="Q58" s="39" t="s">
        <v>97</v>
      </c>
      <c r="R58" s="41"/>
      <c r="S58" s="6" t="str">
        <f>'1'!E6</f>
        <v>1年目</v>
      </c>
    </row>
    <row r="59" spans="1:19" x14ac:dyDescent="0.15">
      <c r="A59" s="6" t="s">
        <v>29</v>
      </c>
      <c r="B59" s="16" t="s">
        <v>10</v>
      </c>
      <c r="D59" s="16" t="s">
        <v>11</v>
      </c>
      <c r="F59" s="16" t="s">
        <v>12</v>
      </c>
      <c r="K59" s="37">
        <f>K60-30</f>
        <v>46113</v>
      </c>
      <c r="L59" s="35">
        <f>IFERROR(IF($B$2="1年目",IF(K59=$B$4,$F$60+$F$63,""),$F$60+$F$63),"")</f>
        <v>45616</v>
      </c>
      <c r="M59" s="38">
        <f>IF($B$2="1年目",IF(COUNT(L59)=1,1,""),VLOOKUP(COUNT(L59),$A$18:$D$29,4,0))</f>
        <v>1</v>
      </c>
      <c r="N59" s="38"/>
      <c r="O59" s="35">
        <f>IFERROR(ROUND(L59*1/M59,0),"")</f>
        <v>45616</v>
      </c>
      <c r="P59" s="38">
        <f>IF($B$2="1年目",IF(COUNT(L59)=1,1,""),VLOOKUP(COUNT(L59),$A$18:$D$23,4,0))</f>
        <v>1</v>
      </c>
      <c r="Q59" s="35">
        <f>IFERROR(ROUND(L59*1/P59,0),"")</f>
        <v>45616</v>
      </c>
      <c r="R59" s="41"/>
    </row>
    <row r="60" spans="1:19" x14ac:dyDescent="0.15">
      <c r="A60" s="6" t="s">
        <v>89</v>
      </c>
      <c r="B60" s="6">
        <f>IF(B1="令和8年度",B12,"")</f>
        <v>410000</v>
      </c>
      <c r="C60" s="17" t="s">
        <v>36</v>
      </c>
      <c r="D60" s="8">
        <f>IF(B1="令和8年度",J20+L20,"")</f>
        <v>95.5</v>
      </c>
      <c r="E60" s="17" t="s">
        <v>37</v>
      </c>
      <c r="F60" s="6">
        <f>TRUNC(B60*D60/1000)</f>
        <v>39155</v>
      </c>
      <c r="K60" s="37">
        <f t="shared" ref="K60:K67" si="6">K61-31</f>
        <v>46143</v>
      </c>
      <c r="L60" s="35">
        <f>IFERROR(IF($B$2="1年目",IF(K60&gt;=$B$4,$F$60+$F$63,""),$F$60+$F$63),"")</f>
        <v>45616</v>
      </c>
      <c r="M60" s="38">
        <f>IFERROR(IF($B$2="1年目",IF(COUNT($L$59:$L60)=1,1,VLOOKUP(COUNT($L$59:$L60)-1,$A$18:$D$29,4,0)),VLOOKUP(COUNT($L$59:$L60),$A$18:$D$29,4,0)),"")</f>
        <v>1.0032737</v>
      </c>
      <c r="N60" s="38"/>
      <c r="O60" s="35">
        <f>IFERROR(ROUND(L60*1/M60,0),"")</f>
        <v>45467</v>
      </c>
      <c r="P60" s="38">
        <f>IFERROR(IF($B$2="1年目",IF(COUNT($L$59:$L60)=1,1,VLOOKUP(COUNT($L$59:$L60)-1,$A$18:$D$23,4,0)),VLOOKUP(COUNT($L$59:$L60),$A$18:$D$23,4,0)),"")</f>
        <v>1.0032737</v>
      </c>
      <c r="Q60" s="35">
        <f t="shared" ref="Q60:Q70" si="7">IFERROR(ROUND(L60*1/P60,0),"")</f>
        <v>45467</v>
      </c>
      <c r="R60" s="41"/>
    </row>
    <row r="61" spans="1:19" x14ac:dyDescent="0.15">
      <c r="K61" s="37">
        <f>K62-30</f>
        <v>46174</v>
      </c>
      <c r="L61" s="35">
        <f>IFERROR(IF($B$2="1年目",IF(K61&gt;=$B$4,$F$60+$F$63,""),$F$60+$F$63),"")</f>
        <v>45616</v>
      </c>
      <c r="M61" s="38">
        <f>IFERROR(IF($B$2="1年目",IF(COUNT($L$59:$L61)=1,1,VLOOKUP(COUNT($L$59:$L61)-1,$A$18:$D$29,4,0)),VLOOKUP(COUNT($L$59:$L61),$A$18:$D$29,4,0)),"")</f>
        <v>1.0065582</v>
      </c>
      <c r="N61" s="38"/>
      <c r="O61" s="35">
        <f t="shared" ref="O61:O70" si="8">IFERROR(ROUND(L61*1/M61,0),"")</f>
        <v>45319</v>
      </c>
      <c r="P61" s="38">
        <f>IFERROR(IF($B$2="1年目",IF(COUNT($L$59:$L61)=1,1,VLOOKUP(COUNT($L$59:$L61)-1,$A$18:$D$23,4,0)),VLOOKUP(COUNT($L$59:$L61),$A$18:$D$23,4,0)),"")</f>
        <v>1.0065582</v>
      </c>
      <c r="Q61" s="35">
        <f t="shared" si="7"/>
        <v>45319</v>
      </c>
      <c r="R61" s="41"/>
    </row>
    <row r="62" spans="1:19" x14ac:dyDescent="0.15">
      <c r="B62" s="16" t="s">
        <v>10</v>
      </c>
      <c r="D62" s="16" t="s">
        <v>13</v>
      </c>
      <c r="F62" s="16" t="s">
        <v>14</v>
      </c>
      <c r="K62" s="37">
        <f t="shared" si="6"/>
        <v>46204</v>
      </c>
      <c r="L62" s="35">
        <f>IFERROR(IF($B$2="1年目",IF(K62&gt;=$B$4,$F$60+$F$63,""),$F$60+$F$63),"")</f>
        <v>45616</v>
      </c>
      <c r="M62" s="38">
        <f>IFERROR(IF($B$2="1年目",IF(COUNT($L$59:$L62)=1,1,VLOOKUP(COUNT($L$59:$L62)-1,$A$18:$D$29,4,0)),VLOOKUP(COUNT($L$59:$L62),$A$18:$D$29,4,0)),"")</f>
        <v>1.0098533999999999</v>
      </c>
      <c r="N62" s="38"/>
      <c r="O62" s="35">
        <f t="shared" si="8"/>
        <v>45171</v>
      </c>
      <c r="P62" s="38">
        <f>IFERROR(IF($B$2="1年目",IF(COUNT($L$59:$L62)=1,1,VLOOKUP(COUNT($L$59:$L62)-1,$A$18:$D$23,4,0)),VLOOKUP(COUNT($L$59:$L62),$A$18:$D$23,4,0)),"")</f>
        <v>1.0098533999999999</v>
      </c>
      <c r="Q62" s="35">
        <f t="shared" si="7"/>
        <v>45171</v>
      </c>
      <c r="R62" s="41"/>
    </row>
    <row r="63" spans="1:19" x14ac:dyDescent="0.15">
      <c r="B63" s="6">
        <f>IF(B1="令和8年度",IF(B3=1,B12,0),"")</f>
        <v>410000</v>
      </c>
      <c r="C63" s="17" t="s">
        <v>36</v>
      </c>
      <c r="D63" s="8">
        <f>IF(B1="令和8年度",IF(B3=1,K20,0),"")</f>
        <v>15.76</v>
      </c>
      <c r="E63" s="17" t="s">
        <v>37</v>
      </c>
      <c r="F63" s="6">
        <f>TRUNC(B63*D63/1000)</f>
        <v>6461</v>
      </c>
      <c r="K63" s="37">
        <f t="shared" si="6"/>
        <v>46235</v>
      </c>
      <c r="L63" s="35">
        <f>IFERROR(IF($B$2="1年目",IF(K63&gt;=$B$4,$F$60+$F$63,""),$F$60+$F$63),"")</f>
        <v>45616</v>
      </c>
      <c r="M63" s="38">
        <f>IFERROR(IF($B$2="1年目",IF(COUNT($L$59:$L63)=1,1,VLOOKUP(COUNT($L$59:$L63)-1,$A$18:$D$29,4,0)),VLOOKUP(COUNT($L$59:$L63),$A$18:$D$29,4,0)),"")</f>
        <v>1.0131593999999999</v>
      </c>
      <c r="N63" s="38"/>
      <c r="O63" s="35">
        <f t="shared" si="8"/>
        <v>45024</v>
      </c>
      <c r="P63" s="38">
        <f>IFERROR(IF($B$2="1年目",IF(COUNT($L$59:$L63)=1,1,VLOOKUP(COUNT($L$59:$L63)-1,$A$18:$D$23,4,0)),VLOOKUP(COUNT($L$59:$L63),$A$18:$D$23,4,0)),"")</f>
        <v>1.0131593999999999</v>
      </c>
      <c r="Q63" s="35">
        <f t="shared" si="7"/>
        <v>45024</v>
      </c>
      <c r="R63" s="41"/>
    </row>
    <row r="64" spans="1:19" x14ac:dyDescent="0.15">
      <c r="K64" s="37">
        <f>K65-30</f>
        <v>46266</v>
      </c>
      <c r="L64" s="35">
        <f>IFERROR(IF($B$2="1年目",IF(K64&gt;=$B$4,$F$60+$F$63,""),$F$60+$F$63),"")</f>
        <v>45616</v>
      </c>
      <c r="M64" s="38">
        <f>IFERROR(IF($B$2="1年目",IF(COUNT($L$59:$L64)=1,1,VLOOKUP(COUNT($L$59:$L64)-1,$A$18:$D$29,4,0)),VLOOKUP(COUNT($L$59:$L64),$A$18:$D$29,4,0)),"")</f>
        <v>1.0164762000000001</v>
      </c>
      <c r="N64" s="38"/>
      <c r="O64" s="35">
        <f t="shared" si="8"/>
        <v>44877</v>
      </c>
      <c r="P64" s="38">
        <f>IFERROR(IF($B$2="1年目",IF(COUNT($L$59:$L64)=1,1,VLOOKUP(COUNT($L$59:$L64)-1,$A$18:$D$23,4,0)),VLOOKUP(COUNT($L$59:$L64),$A$18:$D$23,4,0)),"")</f>
        <v>1.0164762000000001</v>
      </c>
      <c r="Q64" s="35">
        <f t="shared" si="7"/>
        <v>44877</v>
      </c>
      <c r="R64" s="41">
        <f>SUM(Q59:Q64)</f>
        <v>271474</v>
      </c>
    </row>
    <row r="65" spans="1:18" x14ac:dyDescent="0.15">
      <c r="A65" s="6" t="s">
        <v>29</v>
      </c>
      <c r="B65" s="16" t="s">
        <v>10</v>
      </c>
      <c r="D65" s="16" t="s">
        <v>11</v>
      </c>
      <c r="F65" s="16" t="s">
        <v>12</v>
      </c>
      <c r="K65" s="37">
        <f t="shared" si="6"/>
        <v>46296</v>
      </c>
      <c r="L65" s="35">
        <f t="shared" ref="L65:L70" si="9">IFERROR(IF($B$2="1年目",IF(K65&gt;=$B$4,$F$66+$F$69,""),$F$66+$F$69),"")</f>
        <v>45616</v>
      </c>
      <c r="M65" s="38">
        <f>IFERROR(IF($B$2="1年目",IF(COUNT($L$59:$L65)=1,1,VLOOKUP(COUNT($L$59:$L65)-1,$A$18:$D$29,4,0)),VLOOKUP(COUNT($L$59:$L65),$A$18:$D$29,4,0)),"")</f>
        <v>1.0198039000000001</v>
      </c>
      <c r="N65" s="38"/>
      <c r="O65" s="35">
        <f t="shared" si="8"/>
        <v>44730</v>
      </c>
      <c r="P65" s="38">
        <f>IFERROR(IF(AND($B$2="1年目",$L$64=""),IF(COUNT($L$65:$L65)=1,1,VLOOKUP(COUNT($L$65:$L65)-1,$A$18:$D$23,4,0)),VLOOKUP(COUNT($L$65:$L65),$A$18:$D$23,4,0)),"")</f>
        <v>1.0032737</v>
      </c>
      <c r="Q65" s="35">
        <f t="shared" si="7"/>
        <v>45467</v>
      </c>
      <c r="R65" s="41"/>
    </row>
    <row r="66" spans="1:18" x14ac:dyDescent="0.15">
      <c r="A66" s="6" t="s">
        <v>90</v>
      </c>
      <c r="B66" s="6">
        <f>IF(B1="令和8年度",B12,"")</f>
        <v>410000</v>
      </c>
      <c r="C66" s="17" t="s">
        <v>36</v>
      </c>
      <c r="D66" s="8">
        <f>IF(B1="令和8年度",J20+L20,"")</f>
        <v>95.5</v>
      </c>
      <c r="E66" s="17" t="s">
        <v>37</v>
      </c>
      <c r="F66" s="6">
        <f>TRUNC(B66*D66/1000)</f>
        <v>39155</v>
      </c>
      <c r="K66" s="37">
        <f>K67-30</f>
        <v>46327</v>
      </c>
      <c r="L66" s="35">
        <f t="shared" si="9"/>
        <v>45616</v>
      </c>
      <c r="M66" s="38">
        <f>IFERROR(IF($B$2="1年目",IF(COUNT($L$59:$L66)=1,1,VLOOKUP(COUNT($L$59:$L66)-1,$A$18:$D$29,4,0)),VLOOKUP(COUNT($L$59:$L66),$A$18:$D$29,4,0)),"")</f>
        <v>1.0231425000000001</v>
      </c>
      <c r="N66" s="38"/>
      <c r="O66" s="35">
        <f t="shared" si="8"/>
        <v>44584</v>
      </c>
      <c r="P66" s="38">
        <f>IFERROR(IF(AND($B$2="1年目",$L$64=""),IF(COUNT($L$65:$L66)=1,1,VLOOKUP(COUNT($L$65:$L66)-1,$A$18:$D$23,4,0)),VLOOKUP(COUNT($L$65:$L66),$A$18:$D$23,4,0)),"")</f>
        <v>1.0065582</v>
      </c>
      <c r="Q66" s="35">
        <f t="shared" si="7"/>
        <v>45319</v>
      </c>
      <c r="R66" s="41"/>
    </row>
    <row r="67" spans="1:18" x14ac:dyDescent="0.15">
      <c r="K67" s="37">
        <f t="shared" si="6"/>
        <v>46357</v>
      </c>
      <c r="L67" s="35">
        <f t="shared" si="9"/>
        <v>45616</v>
      </c>
      <c r="M67" s="38">
        <f>IFERROR(IF($B$2="1年目",IF(COUNT($L$59:$L67)=1,1,VLOOKUP(COUNT($L$59:$L67)-1,$A$18:$D$29,4,0)),VLOOKUP(COUNT($L$59:$L67),$A$18:$D$29,4,0)),"")</f>
        <v>1.026492</v>
      </c>
      <c r="N67" s="38"/>
      <c r="O67" s="35">
        <f t="shared" si="8"/>
        <v>44439</v>
      </c>
      <c r="P67" s="38">
        <f>IFERROR(IF(AND($B$2="1年目",$L$64=""),IF(COUNT($L$65:$L67)=1,1,VLOOKUP(COUNT($L$65:$L67)-1,$A$18:$D$23,4,0)),VLOOKUP(COUNT($L$65:$L67),$A$18:$D$23,4,0)),"")</f>
        <v>1.0098533999999999</v>
      </c>
      <c r="Q67" s="35">
        <f t="shared" si="7"/>
        <v>45171</v>
      </c>
      <c r="R67" s="41"/>
    </row>
    <row r="68" spans="1:18" x14ac:dyDescent="0.15">
      <c r="B68" s="16" t="s">
        <v>10</v>
      </c>
      <c r="D68" s="16" t="s">
        <v>13</v>
      </c>
      <c r="F68" s="16" t="s">
        <v>14</v>
      </c>
      <c r="K68" s="37">
        <f>K69-31</f>
        <v>46388</v>
      </c>
      <c r="L68" s="35">
        <f t="shared" si="9"/>
        <v>45616</v>
      </c>
      <c r="M68" s="38">
        <f>IFERROR(IF($B$2="1年目",IF(COUNT($L$59:$L68)=1,1,VLOOKUP(COUNT($L$59:$L68)-1,$A$18:$D$29,4,0)),VLOOKUP(COUNT($L$59:$L68),$A$18:$D$29,4,0)),"")</f>
        <v>1.0298524</v>
      </c>
      <c r="N68" s="38"/>
      <c r="O68" s="35">
        <f t="shared" si="8"/>
        <v>44294</v>
      </c>
      <c r="P68" s="38">
        <f>IFERROR(IF(AND($B$2="1年目",$L$64=""),IF(COUNT($L$65:$L68)=1,1,VLOOKUP(COUNT($L$65:$L68)-1,$A$18:$D$23,4,0)),VLOOKUP(COUNT($L$65:$L68),$A$18:$D$23,4,0)),"")</f>
        <v>1.0131593999999999</v>
      </c>
      <c r="Q68" s="35">
        <f t="shared" si="7"/>
        <v>45024</v>
      </c>
      <c r="R68" s="41"/>
    </row>
    <row r="69" spans="1:18" x14ac:dyDescent="0.15">
      <c r="B69" s="6">
        <f>IF(B1="令和8年度",IF(B3=1,B12,0),"")</f>
        <v>410000</v>
      </c>
      <c r="C69" s="17" t="s">
        <v>36</v>
      </c>
      <c r="D69" s="8">
        <f>IF(B1="令和8年度",IF(B3=1,K20,0),"")</f>
        <v>15.76</v>
      </c>
      <c r="E69" s="17" t="s">
        <v>37</v>
      </c>
      <c r="F69" s="6">
        <f>TRUNC(B69*D69/1000)</f>
        <v>6461</v>
      </c>
      <c r="K69" s="37">
        <f>K70-28</f>
        <v>46419</v>
      </c>
      <c r="L69" s="35">
        <f t="shared" si="9"/>
        <v>45616</v>
      </c>
      <c r="M69" s="38">
        <f>IFERROR(IF($B$2="1年目",IF(COUNT($L$59:$L69)=1,1,VLOOKUP(COUNT($L$59:$L69)-1,$A$18:$D$29,4,0)),VLOOKUP(COUNT($L$59:$L69),$A$18:$D$29,4,0)),"")</f>
        <v>1.0332239000000001</v>
      </c>
      <c r="N69" s="38"/>
      <c r="O69" s="35">
        <f t="shared" si="8"/>
        <v>44149</v>
      </c>
      <c r="P69" s="38">
        <f>IFERROR(IF(AND($B$2="1年目",$L$64=""),IF(COUNT($L$65:$L69)=1,1,VLOOKUP(COUNT($L$65:$L69)-1,$A$18:$D$23,4,0)),VLOOKUP(COUNT($L$65:$L69),$A$18:$D$23,4,0)),"")</f>
        <v>1.0164762000000001</v>
      </c>
      <c r="Q69" s="35">
        <f t="shared" si="7"/>
        <v>44877</v>
      </c>
      <c r="R69" s="41"/>
    </row>
    <row r="70" spans="1:18" x14ac:dyDescent="0.15">
      <c r="K70" s="37">
        <f>D6-30</f>
        <v>46447</v>
      </c>
      <c r="L70" s="35">
        <f t="shared" si="9"/>
        <v>45616</v>
      </c>
      <c r="M70" s="38">
        <f>IFERROR(IF($B$2="1年目",IF(COUNT($L$59:$L70)=1,1,VLOOKUP(COUNT($L$59:$L70)-1,$A$18:$D$29,4,0)),VLOOKUP(COUNT($L$59:$L70),$A$18:$D$29,4,0)),"")</f>
        <v>1.0366063999999999</v>
      </c>
      <c r="N70" s="38"/>
      <c r="O70" s="35">
        <f t="shared" si="8"/>
        <v>44005</v>
      </c>
      <c r="P70" s="38">
        <f>IFERROR(IF(AND($B$2="1年目",$L$64=""),IF(COUNT($L$65:$L70)=1,1,VLOOKUP(COUNT($L$65:$L70)-1,$A$18:$D$23,4,0)),VLOOKUP(COUNT($L$65:$L70),$A$18:$D$23,4,0)),"")</f>
        <v>1.0198039000000001</v>
      </c>
      <c r="Q70" s="35">
        <f t="shared" si="7"/>
        <v>44730</v>
      </c>
      <c r="R70" s="41">
        <f>SUM(Q65:Q70)</f>
        <v>270588</v>
      </c>
    </row>
    <row r="71" spans="1:18" x14ac:dyDescent="0.15">
      <c r="K71" s="44" t="s">
        <v>31</v>
      </c>
      <c r="L71" s="45">
        <f>SUM(L59:L70)</f>
        <v>547392</v>
      </c>
      <c r="M71" s="35"/>
      <c r="N71" s="35"/>
      <c r="O71" s="45">
        <f>SUM(O59:O70)</f>
        <v>537675</v>
      </c>
      <c r="P71" s="36"/>
      <c r="Q71" s="45">
        <f>SUM(Q59:Q70)</f>
        <v>542062</v>
      </c>
      <c r="R71" s="41">
        <f>SUM(R59:R70)</f>
        <v>542062</v>
      </c>
    </row>
    <row r="74" spans="1:18" x14ac:dyDescent="0.15">
      <c r="K74" s="26"/>
      <c r="L74" s="26"/>
    </row>
    <row r="75" spans="1:18" x14ac:dyDescent="0.15">
      <c r="K75" s="26"/>
      <c r="L75" s="26"/>
    </row>
    <row r="76" spans="1:18" x14ac:dyDescent="0.15">
      <c r="K76" s="26"/>
      <c r="L76" s="26"/>
    </row>
    <row r="77" spans="1:18" x14ac:dyDescent="0.15">
      <c r="K77" s="26"/>
      <c r="L77" s="26"/>
    </row>
    <row r="78" spans="1:18" x14ac:dyDescent="0.15">
      <c r="K78" s="26"/>
      <c r="L78" s="26"/>
    </row>
    <row r="79" spans="1:18" x14ac:dyDescent="0.15">
      <c r="K79" s="26"/>
      <c r="L79" s="26"/>
    </row>
    <row r="80" spans="1:18" x14ac:dyDescent="0.15">
      <c r="K80" s="26"/>
      <c r="L80" s="26"/>
    </row>
    <row r="81" spans="11:12" x14ac:dyDescent="0.15">
      <c r="K81" s="26"/>
      <c r="L81" s="26"/>
    </row>
    <row r="82" spans="11:12" x14ac:dyDescent="0.15">
      <c r="K82" s="26"/>
      <c r="L82" s="26"/>
    </row>
    <row r="83" spans="11:12" x14ac:dyDescent="0.15">
      <c r="K83" s="26"/>
      <c r="L83" s="26"/>
    </row>
    <row r="84" spans="11:12" x14ac:dyDescent="0.15">
      <c r="K84" s="26"/>
      <c r="L84" s="26"/>
    </row>
    <row r="85" spans="11:12" x14ac:dyDescent="0.15">
      <c r="K85" s="26"/>
      <c r="L85" s="26"/>
    </row>
  </sheetData>
  <mergeCells count="2">
    <mergeCell ref="M57:O57"/>
    <mergeCell ref="P57:Q57"/>
  </mergeCells>
  <phoneticPr fontId="2"/>
  <pageMargins left="0.39370078740157483" right="0.39370078740157483" top="0.39370078740157483" bottom="0.3937007874015748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R72"/>
  <sheetViews>
    <sheetView view="pageBreakPreview" zoomScale="60" zoomScaleNormal="100" workbookViewId="0">
      <selection activeCell="S51" sqref="S51"/>
    </sheetView>
  </sheetViews>
  <sheetFormatPr defaultRowHeight="13.5" x14ac:dyDescent="0.15"/>
  <cols>
    <col min="2" max="2" width="12.25" bestFit="1" customWidth="1"/>
  </cols>
  <sheetData>
    <row r="1" spans="2:18" x14ac:dyDescent="0.15">
      <c r="C1" s="73" t="s">
        <v>89</v>
      </c>
      <c r="G1" s="73" t="s">
        <v>90</v>
      </c>
    </row>
    <row r="2" spans="2:18" x14ac:dyDescent="0.15">
      <c r="C2" s="78" t="s">
        <v>118</v>
      </c>
      <c r="D2" s="78" t="s">
        <v>119</v>
      </c>
      <c r="E2" s="78" t="s">
        <v>120</v>
      </c>
      <c r="F2" s="75"/>
      <c r="G2" s="79" t="s">
        <v>118</v>
      </c>
      <c r="H2" s="79" t="s">
        <v>119</v>
      </c>
      <c r="I2" s="79" t="s">
        <v>120</v>
      </c>
    </row>
    <row r="3" spans="2:18" x14ac:dyDescent="0.15">
      <c r="C3" s="76">
        <f>'0'!B60</f>
        <v>410000</v>
      </c>
      <c r="D3" s="77">
        <f>'0'!D60</f>
        <v>95.5</v>
      </c>
      <c r="E3" s="77">
        <f>'0'!D63</f>
        <v>15.76</v>
      </c>
      <c r="F3" s="74"/>
      <c r="G3" s="76">
        <f>'0'!B66</f>
        <v>410000</v>
      </c>
      <c r="H3" s="77">
        <f>'0'!D66</f>
        <v>95.5</v>
      </c>
      <c r="I3" s="77">
        <f>'0'!D69</f>
        <v>15.76</v>
      </c>
    </row>
    <row r="6" spans="2:18" ht="17.25" x14ac:dyDescent="0.15">
      <c r="B6" s="72" t="s">
        <v>116</v>
      </c>
    </row>
    <row r="7" spans="2:18" x14ac:dyDescent="0.15">
      <c r="B7" s="67" t="s">
        <v>98</v>
      </c>
      <c r="C7" s="68" t="s">
        <v>112</v>
      </c>
      <c r="D7" s="69" t="s">
        <v>100</v>
      </c>
      <c r="E7" s="69" t="s">
        <v>101</v>
      </c>
      <c r="F7" s="69" t="s">
        <v>102</v>
      </c>
      <c r="G7" s="69" t="s">
        <v>103</v>
      </c>
      <c r="H7" s="69" t="s">
        <v>104</v>
      </c>
      <c r="I7" s="69" t="s">
        <v>105</v>
      </c>
      <c r="J7" s="69" t="s">
        <v>106</v>
      </c>
      <c r="K7" s="69" t="s">
        <v>107</v>
      </c>
      <c r="L7" s="69" t="s">
        <v>108</v>
      </c>
      <c r="M7" s="69" t="s">
        <v>109</v>
      </c>
      <c r="N7" s="69" t="s">
        <v>110</v>
      </c>
      <c r="O7" s="70" t="s">
        <v>111</v>
      </c>
      <c r="R7">
        <v>1</v>
      </c>
    </row>
    <row r="8" spans="2:18" x14ac:dyDescent="0.15">
      <c r="B8" s="52">
        <v>44652</v>
      </c>
      <c r="C8" s="64">
        <f>'0'!$F$60+'0'!$F$63</f>
        <v>45616</v>
      </c>
      <c r="D8" s="53">
        <f>ROUND(C8*1/R7,0)</f>
        <v>45616</v>
      </c>
      <c r="E8" s="53"/>
      <c r="F8" s="53"/>
      <c r="G8" s="53"/>
      <c r="H8" s="53"/>
      <c r="I8" s="53"/>
      <c r="J8" s="53"/>
      <c r="K8" s="53"/>
      <c r="L8" s="53"/>
      <c r="M8" s="53"/>
      <c r="N8" s="53"/>
      <c r="O8" s="58"/>
      <c r="Q8">
        <v>1</v>
      </c>
      <c r="R8" s="26">
        <v>1.0032737</v>
      </c>
    </row>
    <row r="9" spans="2:18" x14ac:dyDescent="0.15">
      <c r="B9" s="49">
        <v>44682</v>
      </c>
      <c r="C9" s="62">
        <f>'0'!$F$60+'0'!$F$63</f>
        <v>45616</v>
      </c>
      <c r="D9" s="47">
        <f t="shared" ref="D9:D19" si="0">ROUND(C9*1/R8,0)</f>
        <v>45467</v>
      </c>
      <c r="E9" s="47">
        <f>ROUND($C9*1/$R7,0)</f>
        <v>45616</v>
      </c>
      <c r="F9" s="47"/>
      <c r="G9" s="47"/>
      <c r="H9" s="47"/>
      <c r="I9" s="47"/>
      <c r="J9" s="47"/>
      <c r="K9" s="47"/>
      <c r="L9" s="47"/>
      <c r="M9" s="47"/>
      <c r="N9" s="47"/>
      <c r="O9" s="56"/>
      <c r="Q9">
        <f>Q8+1</f>
        <v>2</v>
      </c>
      <c r="R9" s="26">
        <v>1.0065582</v>
      </c>
    </row>
    <row r="10" spans="2:18" x14ac:dyDescent="0.15">
      <c r="B10" s="49">
        <v>44713</v>
      </c>
      <c r="C10" s="62">
        <f>'0'!$F$60+'0'!$F$63</f>
        <v>45616</v>
      </c>
      <c r="D10" s="47">
        <f t="shared" si="0"/>
        <v>45319</v>
      </c>
      <c r="E10" s="47">
        <f t="shared" ref="E10:E19" si="1">ROUND($C10*1/$R8,0)</f>
        <v>45467</v>
      </c>
      <c r="F10" s="47">
        <f>ROUND($C10*1/$R7,0)</f>
        <v>45616</v>
      </c>
      <c r="G10" s="47"/>
      <c r="H10" s="47"/>
      <c r="I10" s="47"/>
      <c r="J10" s="47"/>
      <c r="K10" s="47"/>
      <c r="L10" s="47"/>
      <c r="M10" s="47"/>
      <c r="N10" s="47"/>
      <c r="O10" s="56"/>
      <c r="Q10">
        <f t="shared" ref="Q10:Q19" si="2">Q9+1</f>
        <v>3</v>
      </c>
      <c r="R10" s="26">
        <v>1.0098533999999999</v>
      </c>
    </row>
    <row r="11" spans="2:18" x14ac:dyDescent="0.15">
      <c r="B11" s="49">
        <v>44743</v>
      </c>
      <c r="C11" s="62">
        <f>'0'!$F$60+'0'!$F$63</f>
        <v>45616</v>
      </c>
      <c r="D11" s="47">
        <f t="shared" si="0"/>
        <v>45171</v>
      </c>
      <c r="E11" s="47">
        <f t="shared" si="1"/>
        <v>45319</v>
      </c>
      <c r="F11" s="47">
        <f t="shared" ref="F11:F19" si="3">ROUND($C11*1/$R8,0)</f>
        <v>45467</v>
      </c>
      <c r="G11" s="47">
        <f>ROUND($C11*1/$R7,0)</f>
        <v>45616</v>
      </c>
      <c r="H11" s="47"/>
      <c r="I11" s="47"/>
      <c r="J11" s="47"/>
      <c r="K11" s="47"/>
      <c r="L11" s="47"/>
      <c r="M11" s="47"/>
      <c r="N11" s="47"/>
      <c r="O11" s="56"/>
      <c r="Q11">
        <f t="shared" si="2"/>
        <v>4</v>
      </c>
      <c r="R11" s="26">
        <v>1.0131593999999999</v>
      </c>
    </row>
    <row r="12" spans="2:18" x14ac:dyDescent="0.15">
      <c r="B12" s="49">
        <v>44774</v>
      </c>
      <c r="C12" s="62">
        <f>'0'!$F$60+'0'!$F$63</f>
        <v>45616</v>
      </c>
      <c r="D12" s="47">
        <f t="shared" si="0"/>
        <v>45024</v>
      </c>
      <c r="E12" s="47">
        <f t="shared" si="1"/>
        <v>45171</v>
      </c>
      <c r="F12" s="47">
        <f t="shared" si="3"/>
        <v>45319</v>
      </c>
      <c r="G12" s="47">
        <f t="shared" ref="G12:G19" si="4">ROUND($C12*1/$R8,0)</f>
        <v>45467</v>
      </c>
      <c r="H12" s="47">
        <f>ROUND($C12*1/$R7,0)</f>
        <v>45616</v>
      </c>
      <c r="I12" s="47"/>
      <c r="J12" s="47"/>
      <c r="K12" s="47"/>
      <c r="L12" s="47"/>
      <c r="M12" s="47"/>
      <c r="N12" s="47"/>
      <c r="O12" s="56"/>
      <c r="Q12">
        <f t="shared" si="2"/>
        <v>5</v>
      </c>
      <c r="R12" s="26">
        <v>1.0164762000000001</v>
      </c>
    </row>
    <row r="13" spans="2:18" x14ac:dyDescent="0.15">
      <c r="B13" s="54">
        <v>44805</v>
      </c>
      <c r="C13" s="63">
        <f>'0'!$F$60+'0'!$F$63</f>
        <v>45616</v>
      </c>
      <c r="D13" s="55">
        <f t="shared" si="0"/>
        <v>44877</v>
      </c>
      <c r="E13" s="55">
        <f t="shared" si="1"/>
        <v>45024</v>
      </c>
      <c r="F13" s="55">
        <f t="shared" si="3"/>
        <v>45171</v>
      </c>
      <c r="G13" s="55">
        <f t="shared" si="4"/>
        <v>45319</v>
      </c>
      <c r="H13" s="55">
        <f t="shared" ref="H13:H19" si="5">ROUND($C13*1/$R8,0)</f>
        <v>45467</v>
      </c>
      <c r="I13" s="55">
        <f>ROUND($C13*1/$R7,0)</f>
        <v>45616</v>
      </c>
      <c r="J13" s="55"/>
      <c r="K13" s="55"/>
      <c r="L13" s="55"/>
      <c r="M13" s="55"/>
      <c r="N13" s="55"/>
      <c r="O13" s="57"/>
      <c r="Q13">
        <f t="shared" si="2"/>
        <v>6</v>
      </c>
      <c r="R13" s="26">
        <v>1.0198039000000001</v>
      </c>
    </row>
    <row r="14" spans="2:18" x14ac:dyDescent="0.15">
      <c r="B14" s="52">
        <v>44835</v>
      </c>
      <c r="C14" s="64">
        <f>'0'!$F$66+'0'!$F$69</f>
        <v>45616</v>
      </c>
      <c r="D14" s="53">
        <f t="shared" si="0"/>
        <v>44730</v>
      </c>
      <c r="E14" s="53">
        <f t="shared" si="1"/>
        <v>44877</v>
      </c>
      <c r="F14" s="53">
        <f t="shared" si="3"/>
        <v>45024</v>
      </c>
      <c r="G14" s="53">
        <f t="shared" si="4"/>
        <v>45171</v>
      </c>
      <c r="H14" s="53">
        <f t="shared" si="5"/>
        <v>45319</v>
      </c>
      <c r="I14" s="53">
        <f t="shared" ref="I14:I19" si="6">ROUND($C14*1/$R8,0)</f>
        <v>45467</v>
      </c>
      <c r="J14" s="53">
        <f t="shared" ref="J14:J19" si="7">ROUND($C14*1/$R7,0)</f>
        <v>45616</v>
      </c>
      <c r="K14" s="53"/>
      <c r="L14" s="53"/>
      <c r="M14" s="53"/>
      <c r="N14" s="53"/>
      <c r="O14" s="58"/>
      <c r="Q14">
        <f t="shared" si="2"/>
        <v>7</v>
      </c>
      <c r="R14" s="26">
        <v>1.0231425000000001</v>
      </c>
    </row>
    <row r="15" spans="2:18" x14ac:dyDescent="0.15">
      <c r="B15" s="49">
        <v>44866</v>
      </c>
      <c r="C15" s="62">
        <f>'0'!$F$66+'0'!$F$69</f>
        <v>45616</v>
      </c>
      <c r="D15" s="47">
        <f t="shared" si="0"/>
        <v>44584</v>
      </c>
      <c r="E15" s="47">
        <f t="shared" si="1"/>
        <v>44730</v>
      </c>
      <c r="F15" s="47">
        <f t="shared" si="3"/>
        <v>44877</v>
      </c>
      <c r="G15" s="47">
        <f t="shared" si="4"/>
        <v>45024</v>
      </c>
      <c r="H15" s="47">
        <f t="shared" si="5"/>
        <v>45171</v>
      </c>
      <c r="I15" s="47">
        <f t="shared" si="6"/>
        <v>45319</v>
      </c>
      <c r="J15" s="47">
        <f t="shared" si="7"/>
        <v>45467</v>
      </c>
      <c r="K15" s="47">
        <f>ROUND($C15*1/$R7,0)</f>
        <v>45616</v>
      </c>
      <c r="L15" s="47"/>
      <c r="M15" s="47"/>
      <c r="N15" s="47"/>
      <c r="O15" s="56"/>
      <c r="Q15">
        <f t="shared" si="2"/>
        <v>8</v>
      </c>
      <c r="R15" s="26">
        <v>1.026492</v>
      </c>
    </row>
    <row r="16" spans="2:18" x14ac:dyDescent="0.15">
      <c r="B16" s="49">
        <v>44896</v>
      </c>
      <c r="C16" s="62">
        <f>'0'!$F$66+'0'!$F$69</f>
        <v>45616</v>
      </c>
      <c r="D16" s="47">
        <f t="shared" si="0"/>
        <v>44439</v>
      </c>
      <c r="E16" s="47">
        <f t="shared" si="1"/>
        <v>44584</v>
      </c>
      <c r="F16" s="47">
        <f t="shared" si="3"/>
        <v>44730</v>
      </c>
      <c r="G16" s="47">
        <f t="shared" si="4"/>
        <v>44877</v>
      </c>
      <c r="H16" s="47">
        <f t="shared" si="5"/>
        <v>45024</v>
      </c>
      <c r="I16" s="47">
        <f t="shared" si="6"/>
        <v>45171</v>
      </c>
      <c r="J16" s="47">
        <f t="shared" si="7"/>
        <v>45319</v>
      </c>
      <c r="K16" s="47">
        <f>ROUND($C16*1/$R8,0)</f>
        <v>45467</v>
      </c>
      <c r="L16" s="47">
        <f>ROUND($C16*1/$R7,0)</f>
        <v>45616</v>
      </c>
      <c r="M16" s="47"/>
      <c r="N16" s="47"/>
      <c r="O16" s="56"/>
      <c r="Q16">
        <f t="shared" si="2"/>
        <v>9</v>
      </c>
      <c r="R16" s="26">
        <v>1.0298524</v>
      </c>
    </row>
    <row r="17" spans="2:18" x14ac:dyDescent="0.15">
      <c r="B17" s="49">
        <v>44927</v>
      </c>
      <c r="C17" s="62">
        <f>'0'!$F$66+'0'!$F$69</f>
        <v>45616</v>
      </c>
      <c r="D17" s="47">
        <f t="shared" si="0"/>
        <v>44294</v>
      </c>
      <c r="E17" s="47">
        <f t="shared" si="1"/>
        <v>44439</v>
      </c>
      <c r="F17" s="47">
        <f t="shared" si="3"/>
        <v>44584</v>
      </c>
      <c r="G17" s="47">
        <f t="shared" si="4"/>
        <v>44730</v>
      </c>
      <c r="H17" s="47">
        <f t="shared" si="5"/>
        <v>44877</v>
      </c>
      <c r="I17" s="47">
        <f t="shared" si="6"/>
        <v>45024</v>
      </c>
      <c r="J17" s="47">
        <f t="shared" si="7"/>
        <v>45171</v>
      </c>
      <c r="K17" s="47">
        <f>ROUND($C17*1/$R9,0)</f>
        <v>45319</v>
      </c>
      <c r="L17" s="47">
        <f>ROUND($C17*1/$R8,0)</f>
        <v>45467</v>
      </c>
      <c r="M17" s="47">
        <f>ROUND($C17*1/$R7,0)</f>
        <v>45616</v>
      </c>
      <c r="N17" s="47"/>
      <c r="O17" s="56"/>
      <c r="Q17">
        <f t="shared" si="2"/>
        <v>10</v>
      </c>
      <c r="R17" s="26">
        <v>1.0332239000000001</v>
      </c>
    </row>
    <row r="18" spans="2:18" x14ac:dyDescent="0.15">
      <c r="B18" s="49">
        <v>44958</v>
      </c>
      <c r="C18" s="62">
        <f>'0'!$F$66+'0'!$F$69</f>
        <v>45616</v>
      </c>
      <c r="D18" s="47">
        <f t="shared" si="0"/>
        <v>44149</v>
      </c>
      <c r="E18" s="47">
        <f t="shared" si="1"/>
        <v>44294</v>
      </c>
      <c r="F18" s="47">
        <f t="shared" si="3"/>
        <v>44439</v>
      </c>
      <c r="G18" s="47">
        <f t="shared" si="4"/>
        <v>44584</v>
      </c>
      <c r="H18" s="47">
        <f t="shared" si="5"/>
        <v>44730</v>
      </c>
      <c r="I18" s="47">
        <f t="shared" si="6"/>
        <v>44877</v>
      </c>
      <c r="J18" s="47">
        <f t="shared" si="7"/>
        <v>45024</v>
      </c>
      <c r="K18" s="47">
        <f>ROUND($C18*1/$R10,0)</f>
        <v>45171</v>
      </c>
      <c r="L18" s="47">
        <f>ROUND($C18*1/$R9,0)</f>
        <v>45319</v>
      </c>
      <c r="M18" s="47">
        <f>ROUND($C18*1/$R8,0)</f>
        <v>45467</v>
      </c>
      <c r="N18" s="47">
        <f>ROUND($C18*1/$R7,0)</f>
        <v>45616</v>
      </c>
      <c r="O18" s="56"/>
      <c r="Q18">
        <f t="shared" si="2"/>
        <v>11</v>
      </c>
      <c r="R18" s="26">
        <v>1.0366063999999999</v>
      </c>
    </row>
    <row r="19" spans="2:18" ht="14.25" thickBot="1" x14ac:dyDescent="0.2">
      <c r="B19" s="50">
        <v>44986</v>
      </c>
      <c r="C19" s="65">
        <f>'0'!$F$66+'0'!$F$69</f>
        <v>45616</v>
      </c>
      <c r="D19" s="48">
        <f t="shared" si="0"/>
        <v>44005</v>
      </c>
      <c r="E19" s="48">
        <f t="shared" si="1"/>
        <v>44149</v>
      </c>
      <c r="F19" s="48">
        <f t="shared" si="3"/>
        <v>44294</v>
      </c>
      <c r="G19" s="48">
        <f t="shared" si="4"/>
        <v>44439</v>
      </c>
      <c r="H19" s="48">
        <f t="shared" si="5"/>
        <v>44584</v>
      </c>
      <c r="I19" s="48">
        <f t="shared" si="6"/>
        <v>44730</v>
      </c>
      <c r="J19" s="48">
        <f t="shared" si="7"/>
        <v>44877</v>
      </c>
      <c r="K19" s="48">
        <f>ROUND($C19*1/$R11,0)</f>
        <v>45024</v>
      </c>
      <c r="L19" s="48">
        <f>ROUND($C19*1/$R10,0)</f>
        <v>45171</v>
      </c>
      <c r="M19" s="48">
        <f>ROUND($C19*1/$R9,0)</f>
        <v>45319</v>
      </c>
      <c r="N19" s="48">
        <f>ROUND($C19*1/$R8,0)</f>
        <v>45467</v>
      </c>
      <c r="O19" s="59">
        <f>ROUND($C19*1/$R7,0)</f>
        <v>45616</v>
      </c>
      <c r="Q19">
        <f t="shared" si="2"/>
        <v>12</v>
      </c>
      <c r="R19" s="26">
        <v>1.04</v>
      </c>
    </row>
    <row r="20" spans="2:18" ht="14.25" thickTop="1" x14ac:dyDescent="0.15">
      <c r="B20" s="51" t="s">
        <v>115</v>
      </c>
      <c r="C20" s="66"/>
      <c r="D20" s="60">
        <f>SUM(D8:D19)</f>
        <v>537675</v>
      </c>
      <c r="E20" s="60">
        <f t="shared" ref="E20:O20" si="8">SUM(E8:E19)</f>
        <v>493670</v>
      </c>
      <c r="F20" s="60">
        <f t="shared" si="8"/>
        <v>449521</v>
      </c>
      <c r="G20" s="60">
        <f t="shared" si="8"/>
        <v>405227</v>
      </c>
      <c r="H20" s="60">
        <f t="shared" si="8"/>
        <v>360788</v>
      </c>
      <c r="I20" s="60">
        <f t="shared" si="8"/>
        <v>316204</v>
      </c>
      <c r="J20" s="60">
        <f t="shared" si="8"/>
        <v>271474</v>
      </c>
      <c r="K20" s="60">
        <f t="shared" si="8"/>
        <v>226597</v>
      </c>
      <c r="L20" s="60">
        <f t="shared" si="8"/>
        <v>181573</v>
      </c>
      <c r="M20" s="60">
        <f t="shared" si="8"/>
        <v>136402</v>
      </c>
      <c r="N20" s="60">
        <f t="shared" si="8"/>
        <v>91083</v>
      </c>
      <c r="O20" s="61">
        <f t="shared" si="8"/>
        <v>45616</v>
      </c>
    </row>
    <row r="23" spans="2:18" ht="17.25" x14ac:dyDescent="0.15">
      <c r="B23" s="71" t="s">
        <v>117</v>
      </c>
    </row>
    <row r="24" spans="2:18" x14ac:dyDescent="0.15">
      <c r="B24" s="67" t="s">
        <v>98</v>
      </c>
      <c r="C24" s="68" t="s">
        <v>112</v>
      </c>
      <c r="D24" s="69" t="s">
        <v>100</v>
      </c>
      <c r="E24" s="69" t="s">
        <v>101</v>
      </c>
      <c r="F24" s="69" t="s">
        <v>102</v>
      </c>
      <c r="G24" s="69" t="s">
        <v>103</v>
      </c>
      <c r="H24" s="69" t="s">
        <v>104</v>
      </c>
      <c r="I24" s="69" t="s">
        <v>105</v>
      </c>
      <c r="J24" s="69" t="s">
        <v>106</v>
      </c>
      <c r="K24" s="69" t="s">
        <v>107</v>
      </c>
      <c r="L24" s="69" t="s">
        <v>108</v>
      </c>
      <c r="M24" s="69" t="s">
        <v>109</v>
      </c>
      <c r="N24" s="69" t="s">
        <v>110</v>
      </c>
      <c r="O24" s="70" t="s">
        <v>111</v>
      </c>
    </row>
    <row r="25" spans="2:18" x14ac:dyDescent="0.15">
      <c r="B25" s="52">
        <v>44652</v>
      </c>
      <c r="C25" s="64">
        <f>'0'!$F$60+'0'!$F$63</f>
        <v>45616</v>
      </c>
      <c r="D25" s="53">
        <f t="shared" ref="D25:D30" si="9">ROUND($C25*1/$R7,0)</f>
        <v>45616</v>
      </c>
      <c r="E25" s="53"/>
      <c r="F25" s="53"/>
      <c r="G25" s="53"/>
      <c r="H25" s="53"/>
      <c r="I25" s="53"/>
      <c r="J25" s="53"/>
      <c r="K25" s="53"/>
      <c r="L25" s="53"/>
      <c r="M25" s="53"/>
      <c r="N25" s="53"/>
      <c r="O25" s="58"/>
    </row>
    <row r="26" spans="2:18" x14ac:dyDescent="0.15">
      <c r="B26" s="49">
        <v>44682</v>
      </c>
      <c r="C26" s="62">
        <f>'0'!$F$60+'0'!$F$63</f>
        <v>45616</v>
      </c>
      <c r="D26" s="47">
        <f t="shared" si="9"/>
        <v>45467</v>
      </c>
      <c r="E26" s="47">
        <f>ROUND($C26*1/$R7,0)</f>
        <v>45616</v>
      </c>
      <c r="F26" s="47"/>
      <c r="G26" s="47"/>
      <c r="H26" s="47"/>
      <c r="I26" s="47"/>
      <c r="J26" s="47"/>
      <c r="K26" s="47"/>
      <c r="L26" s="47"/>
      <c r="M26" s="47"/>
      <c r="N26" s="47"/>
      <c r="O26" s="56"/>
    </row>
    <row r="27" spans="2:18" x14ac:dyDescent="0.15">
      <c r="B27" s="49">
        <v>44713</v>
      </c>
      <c r="C27" s="62">
        <f>'0'!$F$60+'0'!$F$63</f>
        <v>45616</v>
      </c>
      <c r="D27" s="47">
        <f t="shared" si="9"/>
        <v>45319</v>
      </c>
      <c r="E27" s="47">
        <f>ROUND($C27*1/$R8,0)</f>
        <v>45467</v>
      </c>
      <c r="F27" s="47">
        <f>ROUND($C27*1/$R7,0)</f>
        <v>45616</v>
      </c>
      <c r="G27" s="47"/>
      <c r="H27" s="47"/>
      <c r="I27" s="47"/>
      <c r="J27" s="47"/>
      <c r="K27" s="47"/>
      <c r="L27" s="47"/>
      <c r="M27" s="47"/>
      <c r="N27" s="47"/>
      <c r="O27" s="56"/>
    </row>
    <row r="28" spans="2:18" x14ac:dyDescent="0.15">
      <c r="B28" s="49">
        <v>44743</v>
      </c>
      <c r="C28" s="62">
        <f>'0'!$F$60+'0'!$F$63</f>
        <v>45616</v>
      </c>
      <c r="D28" s="47">
        <f t="shared" si="9"/>
        <v>45171</v>
      </c>
      <c r="E28" s="47">
        <f>ROUND($C28*1/$R9,0)</f>
        <v>45319</v>
      </c>
      <c r="F28" s="47">
        <f>ROUND($C28*1/$R8,0)</f>
        <v>45467</v>
      </c>
      <c r="G28" s="47">
        <f>ROUND($C28*1/$R7,0)</f>
        <v>45616</v>
      </c>
      <c r="H28" s="47"/>
      <c r="I28" s="47"/>
      <c r="J28" s="47"/>
      <c r="K28" s="47"/>
      <c r="L28" s="47"/>
      <c r="M28" s="47"/>
      <c r="N28" s="47"/>
      <c r="O28" s="56"/>
    </row>
    <row r="29" spans="2:18" x14ac:dyDescent="0.15">
      <c r="B29" s="49">
        <v>44774</v>
      </c>
      <c r="C29" s="62">
        <f>'0'!$F$60+'0'!$F$63</f>
        <v>45616</v>
      </c>
      <c r="D29" s="47">
        <f t="shared" si="9"/>
        <v>45024</v>
      </c>
      <c r="E29" s="47">
        <f>ROUND($C29*1/$R10,0)</f>
        <v>45171</v>
      </c>
      <c r="F29" s="47">
        <f>ROUND($C29*1/$R9,0)</f>
        <v>45319</v>
      </c>
      <c r="G29" s="47">
        <f>ROUND($C29*1/$R8,0)</f>
        <v>45467</v>
      </c>
      <c r="H29" s="47">
        <f>ROUND($C29*1/$R7,0)</f>
        <v>45616</v>
      </c>
      <c r="I29" s="47"/>
      <c r="J29" s="47"/>
      <c r="K29" s="47"/>
      <c r="L29" s="47"/>
      <c r="M29" s="47"/>
      <c r="N29" s="47"/>
      <c r="O29" s="56"/>
    </row>
    <row r="30" spans="2:18" x14ac:dyDescent="0.15">
      <c r="B30" s="54">
        <v>44805</v>
      </c>
      <c r="C30" s="63">
        <f>'0'!$F$60+'0'!$F$63</f>
        <v>45616</v>
      </c>
      <c r="D30" s="55">
        <f t="shared" si="9"/>
        <v>44877</v>
      </c>
      <c r="E30" s="55">
        <f>ROUND($C30*1/$R11,0)</f>
        <v>45024</v>
      </c>
      <c r="F30" s="55">
        <f>ROUND($C30*1/$R10,0)</f>
        <v>45171</v>
      </c>
      <c r="G30" s="55">
        <f>ROUND($C30*1/$R9,0)</f>
        <v>45319</v>
      </c>
      <c r="H30" s="55">
        <f>ROUND($C30*1/$R8,0)</f>
        <v>45467</v>
      </c>
      <c r="I30" s="55">
        <f t="shared" ref="I30:I36" si="10">ROUND($C30*1/$R7,0)</f>
        <v>45616</v>
      </c>
      <c r="J30" s="55"/>
      <c r="K30" s="55"/>
      <c r="L30" s="55"/>
      <c r="M30" s="55"/>
      <c r="N30" s="55"/>
      <c r="O30" s="57"/>
    </row>
    <row r="31" spans="2:18" x14ac:dyDescent="0.15">
      <c r="B31" s="52">
        <v>44835</v>
      </c>
      <c r="C31" s="64">
        <f>'0'!$F$66+'0'!$F$69</f>
        <v>45616</v>
      </c>
      <c r="D31" s="53">
        <f t="shared" ref="D31:H36" si="11">ROUND($C31*1/$R8,0)</f>
        <v>45467</v>
      </c>
      <c r="E31" s="53">
        <f t="shared" si="11"/>
        <v>45467</v>
      </c>
      <c r="F31" s="53">
        <f t="shared" si="11"/>
        <v>45467</v>
      </c>
      <c r="G31" s="53">
        <f t="shared" si="11"/>
        <v>45467</v>
      </c>
      <c r="H31" s="53">
        <f t="shared" si="11"/>
        <v>45467</v>
      </c>
      <c r="I31" s="53">
        <f t="shared" si="10"/>
        <v>45467</v>
      </c>
      <c r="J31" s="53">
        <f t="shared" ref="J31:J36" si="12">ROUND($C31*1/$R7,0)</f>
        <v>45616</v>
      </c>
      <c r="K31" s="53"/>
      <c r="L31" s="53"/>
      <c r="M31" s="53"/>
      <c r="N31" s="53"/>
      <c r="O31" s="58"/>
    </row>
    <row r="32" spans="2:18" x14ac:dyDescent="0.15">
      <c r="B32" s="49">
        <v>44866</v>
      </c>
      <c r="C32" s="62">
        <f>'0'!$F$66+'0'!$F$69</f>
        <v>45616</v>
      </c>
      <c r="D32" s="47">
        <f t="shared" si="11"/>
        <v>45319</v>
      </c>
      <c r="E32" s="47">
        <f t="shared" si="11"/>
        <v>45319</v>
      </c>
      <c r="F32" s="47">
        <f t="shared" si="11"/>
        <v>45319</v>
      </c>
      <c r="G32" s="47">
        <f t="shared" si="11"/>
        <v>45319</v>
      </c>
      <c r="H32" s="47">
        <f t="shared" si="11"/>
        <v>45319</v>
      </c>
      <c r="I32" s="47">
        <f t="shared" si="10"/>
        <v>45319</v>
      </c>
      <c r="J32" s="47">
        <f t="shared" si="12"/>
        <v>45467</v>
      </c>
      <c r="K32" s="47">
        <f>ROUND($C32*1/$R7,0)</f>
        <v>45616</v>
      </c>
      <c r="L32" s="47"/>
      <c r="M32" s="47"/>
      <c r="N32" s="47"/>
      <c r="O32" s="56"/>
    </row>
    <row r="33" spans="2:15" x14ac:dyDescent="0.15">
      <c r="B33" s="49">
        <v>44896</v>
      </c>
      <c r="C33" s="62">
        <f>'0'!$F$66+'0'!$F$69</f>
        <v>45616</v>
      </c>
      <c r="D33" s="47">
        <f t="shared" si="11"/>
        <v>45171</v>
      </c>
      <c r="E33" s="47">
        <f t="shared" si="11"/>
        <v>45171</v>
      </c>
      <c r="F33" s="47">
        <f t="shared" si="11"/>
        <v>45171</v>
      </c>
      <c r="G33" s="47">
        <f t="shared" si="11"/>
        <v>45171</v>
      </c>
      <c r="H33" s="47">
        <f t="shared" si="11"/>
        <v>45171</v>
      </c>
      <c r="I33" s="47">
        <f t="shared" si="10"/>
        <v>45171</v>
      </c>
      <c r="J33" s="47">
        <f t="shared" si="12"/>
        <v>45319</v>
      </c>
      <c r="K33" s="47">
        <f>ROUND($C33*1/$R8,0)</f>
        <v>45467</v>
      </c>
      <c r="L33" s="47">
        <f>ROUND($C33*1/$R7,0)</f>
        <v>45616</v>
      </c>
      <c r="M33" s="47"/>
      <c r="N33" s="47"/>
      <c r="O33" s="56"/>
    </row>
    <row r="34" spans="2:15" x14ac:dyDescent="0.15">
      <c r="B34" s="49">
        <v>44927</v>
      </c>
      <c r="C34" s="62">
        <f>'0'!$F$66+'0'!$F$69</f>
        <v>45616</v>
      </c>
      <c r="D34" s="47">
        <f t="shared" si="11"/>
        <v>45024</v>
      </c>
      <c r="E34" s="47">
        <f t="shared" si="11"/>
        <v>45024</v>
      </c>
      <c r="F34" s="47">
        <f t="shared" si="11"/>
        <v>45024</v>
      </c>
      <c r="G34" s="47">
        <f t="shared" si="11"/>
        <v>45024</v>
      </c>
      <c r="H34" s="47">
        <f t="shared" si="11"/>
        <v>45024</v>
      </c>
      <c r="I34" s="47">
        <f t="shared" si="10"/>
        <v>45024</v>
      </c>
      <c r="J34" s="47">
        <f t="shared" si="12"/>
        <v>45171</v>
      </c>
      <c r="K34" s="47">
        <f>ROUND($C34*1/$R9,0)</f>
        <v>45319</v>
      </c>
      <c r="L34" s="47">
        <f>ROUND($C34*1/$R8,0)</f>
        <v>45467</v>
      </c>
      <c r="M34" s="47">
        <f>ROUND($C34*1/$R7,0)</f>
        <v>45616</v>
      </c>
      <c r="N34" s="47"/>
      <c r="O34" s="56"/>
    </row>
    <row r="35" spans="2:15" x14ac:dyDescent="0.15">
      <c r="B35" s="49">
        <v>44958</v>
      </c>
      <c r="C35" s="62">
        <f>'0'!$F$66+'0'!$F$69</f>
        <v>45616</v>
      </c>
      <c r="D35" s="47">
        <f t="shared" si="11"/>
        <v>44877</v>
      </c>
      <c r="E35" s="47">
        <f t="shared" si="11"/>
        <v>44877</v>
      </c>
      <c r="F35" s="47">
        <f t="shared" si="11"/>
        <v>44877</v>
      </c>
      <c r="G35" s="47">
        <f t="shared" si="11"/>
        <v>44877</v>
      </c>
      <c r="H35" s="47">
        <f t="shared" si="11"/>
        <v>44877</v>
      </c>
      <c r="I35" s="47">
        <f t="shared" si="10"/>
        <v>44877</v>
      </c>
      <c r="J35" s="47">
        <f t="shared" si="12"/>
        <v>45024</v>
      </c>
      <c r="K35" s="47">
        <f>ROUND($C35*1/$R10,0)</f>
        <v>45171</v>
      </c>
      <c r="L35" s="47">
        <f>ROUND($C35*1/$R9,0)</f>
        <v>45319</v>
      </c>
      <c r="M35" s="47">
        <f>ROUND($C35*1/$R8,0)</f>
        <v>45467</v>
      </c>
      <c r="N35" s="47">
        <f>ROUND($C35*1/$R7,0)</f>
        <v>45616</v>
      </c>
      <c r="O35" s="56"/>
    </row>
    <row r="36" spans="2:15" ht="14.25" thickBot="1" x14ac:dyDescent="0.2">
      <c r="B36" s="50">
        <v>44986</v>
      </c>
      <c r="C36" s="65">
        <f>'0'!$F$66+'0'!$F$69</f>
        <v>45616</v>
      </c>
      <c r="D36" s="48">
        <f t="shared" si="11"/>
        <v>44730</v>
      </c>
      <c r="E36" s="48">
        <f t="shared" si="11"/>
        <v>44730</v>
      </c>
      <c r="F36" s="48">
        <f t="shared" si="11"/>
        <v>44730</v>
      </c>
      <c r="G36" s="48">
        <f t="shared" si="11"/>
        <v>44730</v>
      </c>
      <c r="H36" s="48">
        <f t="shared" si="11"/>
        <v>44730</v>
      </c>
      <c r="I36" s="48">
        <f t="shared" si="10"/>
        <v>44730</v>
      </c>
      <c r="J36" s="48">
        <f t="shared" si="12"/>
        <v>44877</v>
      </c>
      <c r="K36" s="48">
        <f>ROUND($C36*1/$R11,0)</f>
        <v>45024</v>
      </c>
      <c r="L36" s="48">
        <f>ROUND($C36*1/$R10,0)</f>
        <v>45171</v>
      </c>
      <c r="M36" s="48">
        <f>ROUND($C36*1/$R9,0)</f>
        <v>45319</v>
      </c>
      <c r="N36" s="48">
        <f>ROUND($C36*1/$R8,0)</f>
        <v>45467</v>
      </c>
      <c r="O36" s="59">
        <f>ROUND($C36*1/$R7,0)</f>
        <v>45616</v>
      </c>
    </row>
    <row r="37" spans="2:15" ht="14.25" thickTop="1" x14ac:dyDescent="0.15">
      <c r="B37" s="51" t="s">
        <v>115</v>
      </c>
      <c r="C37" s="66"/>
      <c r="D37" s="60">
        <f t="shared" ref="D37:O37" si="13">SUM(D25:D36)</f>
        <v>542062</v>
      </c>
      <c r="E37" s="60">
        <f t="shared" si="13"/>
        <v>497185</v>
      </c>
      <c r="F37" s="60">
        <f t="shared" si="13"/>
        <v>452161</v>
      </c>
      <c r="G37" s="60">
        <f t="shared" si="13"/>
        <v>406990</v>
      </c>
      <c r="H37" s="60">
        <f t="shared" si="13"/>
        <v>361671</v>
      </c>
      <c r="I37" s="60">
        <f t="shared" si="13"/>
        <v>316204</v>
      </c>
      <c r="J37" s="60">
        <f t="shared" si="13"/>
        <v>271474</v>
      </c>
      <c r="K37" s="60">
        <f t="shared" si="13"/>
        <v>226597</v>
      </c>
      <c r="L37" s="60">
        <f t="shared" si="13"/>
        <v>181573</v>
      </c>
      <c r="M37" s="60">
        <f t="shared" si="13"/>
        <v>136402</v>
      </c>
      <c r="N37" s="60">
        <f t="shared" si="13"/>
        <v>91083</v>
      </c>
      <c r="O37" s="61">
        <f t="shared" si="13"/>
        <v>45616</v>
      </c>
    </row>
    <row r="40" spans="2:15" ht="17.25" x14ac:dyDescent="0.15">
      <c r="B40" s="71" t="s">
        <v>121</v>
      </c>
    </row>
    <row r="41" spans="2:15" x14ac:dyDescent="0.15">
      <c r="B41" s="67" t="s">
        <v>98</v>
      </c>
      <c r="C41" s="68" t="s">
        <v>112</v>
      </c>
      <c r="D41" s="69" t="s">
        <v>100</v>
      </c>
      <c r="E41" s="69" t="s">
        <v>101</v>
      </c>
      <c r="F41" s="69" t="s">
        <v>102</v>
      </c>
      <c r="G41" s="69" t="s">
        <v>103</v>
      </c>
      <c r="H41" s="69" t="s">
        <v>104</v>
      </c>
      <c r="I41" s="69" t="s">
        <v>105</v>
      </c>
      <c r="J41" s="69" t="s">
        <v>106</v>
      </c>
      <c r="K41" s="69" t="s">
        <v>107</v>
      </c>
      <c r="L41" s="69" t="s">
        <v>108</v>
      </c>
      <c r="M41" s="69" t="s">
        <v>109</v>
      </c>
      <c r="N41" s="69" t="s">
        <v>110</v>
      </c>
      <c r="O41" s="70" t="s">
        <v>111</v>
      </c>
    </row>
    <row r="42" spans="2:15" x14ac:dyDescent="0.15">
      <c r="B42" s="52">
        <v>44652</v>
      </c>
      <c r="C42" s="64">
        <f>'0'!$F$60+'0'!$F$63</f>
        <v>45616</v>
      </c>
      <c r="D42" s="53">
        <f>$C42</f>
        <v>45616</v>
      </c>
      <c r="E42" s="53"/>
      <c r="F42" s="53"/>
      <c r="G42" s="53"/>
      <c r="H42" s="53"/>
      <c r="I42" s="53"/>
      <c r="J42" s="53"/>
      <c r="K42" s="53"/>
      <c r="L42" s="53"/>
      <c r="M42" s="53"/>
      <c r="N42" s="53"/>
      <c r="O42" s="58"/>
    </row>
    <row r="43" spans="2:15" x14ac:dyDescent="0.15">
      <c r="B43" s="49">
        <v>44682</v>
      </c>
      <c r="C43" s="62">
        <f>'0'!$F$60+'0'!$F$63</f>
        <v>45616</v>
      </c>
      <c r="D43" s="47">
        <f>$C43</f>
        <v>45616</v>
      </c>
      <c r="E43" s="47">
        <f>$C43</f>
        <v>45616</v>
      </c>
      <c r="F43" s="47"/>
      <c r="G43" s="47"/>
      <c r="H43" s="47"/>
      <c r="I43" s="47"/>
      <c r="J43" s="47"/>
      <c r="K43" s="47"/>
      <c r="L43" s="47"/>
      <c r="M43" s="47"/>
      <c r="N43" s="47"/>
      <c r="O43" s="56"/>
    </row>
    <row r="44" spans="2:15" x14ac:dyDescent="0.15">
      <c r="B44" s="49">
        <v>44713</v>
      </c>
      <c r="C44" s="62">
        <f>'0'!$F$60+'0'!$F$63</f>
        <v>45616</v>
      </c>
      <c r="D44" s="47">
        <f t="shared" ref="D44:O53" si="14">$C44</f>
        <v>45616</v>
      </c>
      <c r="E44" s="47">
        <f t="shared" si="14"/>
        <v>45616</v>
      </c>
      <c r="F44" s="47">
        <f t="shared" si="14"/>
        <v>45616</v>
      </c>
      <c r="G44" s="47"/>
      <c r="H44" s="47"/>
      <c r="I44" s="47"/>
      <c r="J44" s="47"/>
      <c r="K44" s="47"/>
      <c r="L44" s="47"/>
      <c r="M44" s="47"/>
      <c r="N44" s="47"/>
      <c r="O44" s="56"/>
    </row>
    <row r="45" spans="2:15" x14ac:dyDescent="0.15">
      <c r="B45" s="49">
        <v>44743</v>
      </c>
      <c r="C45" s="62">
        <f>'0'!$F$60+'0'!$F$63</f>
        <v>45616</v>
      </c>
      <c r="D45" s="47">
        <f t="shared" si="14"/>
        <v>45616</v>
      </c>
      <c r="E45" s="47">
        <f t="shared" si="14"/>
        <v>45616</v>
      </c>
      <c r="F45" s="47">
        <f t="shared" si="14"/>
        <v>45616</v>
      </c>
      <c r="G45" s="47">
        <f t="shared" si="14"/>
        <v>45616</v>
      </c>
      <c r="H45" s="47"/>
      <c r="I45" s="47"/>
      <c r="J45" s="47"/>
      <c r="K45" s="47"/>
      <c r="L45" s="47"/>
      <c r="M45" s="47"/>
      <c r="N45" s="47"/>
      <c r="O45" s="56"/>
    </row>
    <row r="46" spans="2:15" x14ac:dyDescent="0.15">
      <c r="B46" s="49">
        <v>44774</v>
      </c>
      <c r="C46" s="62">
        <f>'0'!$F$60+'0'!$F$63</f>
        <v>45616</v>
      </c>
      <c r="D46" s="47">
        <f t="shared" si="14"/>
        <v>45616</v>
      </c>
      <c r="E46" s="47">
        <f t="shared" si="14"/>
        <v>45616</v>
      </c>
      <c r="F46" s="47">
        <f t="shared" si="14"/>
        <v>45616</v>
      </c>
      <c r="G46" s="47">
        <f t="shared" si="14"/>
        <v>45616</v>
      </c>
      <c r="H46" s="47">
        <f t="shared" si="14"/>
        <v>45616</v>
      </c>
      <c r="I46" s="47"/>
      <c r="J46" s="47"/>
      <c r="K46" s="47"/>
      <c r="L46" s="47"/>
      <c r="M46" s="47"/>
      <c r="N46" s="47"/>
      <c r="O46" s="56"/>
    </row>
    <row r="47" spans="2:15" x14ac:dyDescent="0.15">
      <c r="B47" s="54">
        <v>44805</v>
      </c>
      <c r="C47" s="63">
        <f>'0'!$F$60+'0'!$F$63</f>
        <v>45616</v>
      </c>
      <c r="D47" s="55">
        <f t="shared" si="14"/>
        <v>45616</v>
      </c>
      <c r="E47" s="55">
        <f t="shared" si="14"/>
        <v>45616</v>
      </c>
      <c r="F47" s="55">
        <f t="shared" si="14"/>
        <v>45616</v>
      </c>
      <c r="G47" s="55">
        <f t="shared" si="14"/>
        <v>45616</v>
      </c>
      <c r="H47" s="55">
        <f t="shared" si="14"/>
        <v>45616</v>
      </c>
      <c r="I47" s="55">
        <f t="shared" si="14"/>
        <v>45616</v>
      </c>
      <c r="J47" s="55"/>
      <c r="K47" s="55"/>
      <c r="L47" s="55"/>
      <c r="M47" s="55"/>
      <c r="N47" s="55"/>
      <c r="O47" s="57"/>
    </row>
    <row r="48" spans="2:15" x14ac:dyDescent="0.15">
      <c r="B48" s="52">
        <v>44835</v>
      </c>
      <c r="C48" s="64">
        <f>'0'!$F$66+'0'!$F$69</f>
        <v>45616</v>
      </c>
      <c r="D48" s="53">
        <f t="shared" si="14"/>
        <v>45616</v>
      </c>
      <c r="E48" s="53">
        <f t="shared" si="14"/>
        <v>45616</v>
      </c>
      <c r="F48" s="53">
        <f t="shared" si="14"/>
        <v>45616</v>
      </c>
      <c r="G48" s="53">
        <f t="shared" si="14"/>
        <v>45616</v>
      </c>
      <c r="H48" s="53">
        <f t="shared" si="14"/>
        <v>45616</v>
      </c>
      <c r="I48" s="53">
        <f t="shared" si="14"/>
        <v>45616</v>
      </c>
      <c r="J48" s="53">
        <f t="shared" si="14"/>
        <v>45616</v>
      </c>
      <c r="K48" s="53"/>
      <c r="L48" s="53"/>
      <c r="M48" s="53"/>
      <c r="N48" s="53"/>
      <c r="O48" s="58"/>
    </row>
    <row r="49" spans="2:15" x14ac:dyDescent="0.15">
      <c r="B49" s="49">
        <v>44866</v>
      </c>
      <c r="C49" s="62">
        <f>'0'!$F$66+'0'!$F$69</f>
        <v>45616</v>
      </c>
      <c r="D49" s="47">
        <f t="shared" si="14"/>
        <v>45616</v>
      </c>
      <c r="E49" s="47">
        <f t="shared" si="14"/>
        <v>45616</v>
      </c>
      <c r="F49" s="47">
        <f t="shared" si="14"/>
        <v>45616</v>
      </c>
      <c r="G49" s="47">
        <f t="shared" si="14"/>
        <v>45616</v>
      </c>
      <c r="H49" s="47">
        <f t="shared" si="14"/>
        <v>45616</v>
      </c>
      <c r="I49" s="47">
        <f t="shared" si="14"/>
        <v>45616</v>
      </c>
      <c r="J49" s="47">
        <f t="shared" si="14"/>
        <v>45616</v>
      </c>
      <c r="K49" s="47">
        <f t="shared" si="14"/>
        <v>45616</v>
      </c>
      <c r="L49" s="47"/>
      <c r="M49" s="47"/>
      <c r="N49" s="47"/>
      <c r="O49" s="56"/>
    </row>
    <row r="50" spans="2:15" x14ac:dyDescent="0.15">
      <c r="B50" s="49">
        <v>44896</v>
      </c>
      <c r="C50" s="62">
        <f>'0'!$F$66+'0'!$F$69</f>
        <v>45616</v>
      </c>
      <c r="D50" s="47">
        <f t="shared" si="14"/>
        <v>45616</v>
      </c>
      <c r="E50" s="47">
        <f t="shared" si="14"/>
        <v>45616</v>
      </c>
      <c r="F50" s="47">
        <f t="shared" si="14"/>
        <v>45616</v>
      </c>
      <c r="G50" s="47">
        <f t="shared" si="14"/>
        <v>45616</v>
      </c>
      <c r="H50" s="47">
        <f t="shared" si="14"/>
        <v>45616</v>
      </c>
      <c r="I50" s="47">
        <f t="shared" si="14"/>
        <v>45616</v>
      </c>
      <c r="J50" s="47">
        <f t="shared" si="14"/>
        <v>45616</v>
      </c>
      <c r="K50" s="47">
        <f t="shared" si="14"/>
        <v>45616</v>
      </c>
      <c r="L50" s="47">
        <f t="shared" si="14"/>
        <v>45616</v>
      </c>
      <c r="M50" s="47"/>
      <c r="N50" s="47"/>
      <c r="O50" s="56"/>
    </row>
    <row r="51" spans="2:15" x14ac:dyDescent="0.15">
      <c r="B51" s="49">
        <v>44927</v>
      </c>
      <c r="C51" s="62">
        <f>'0'!$F$66+'0'!$F$69</f>
        <v>45616</v>
      </c>
      <c r="D51" s="47">
        <f t="shared" si="14"/>
        <v>45616</v>
      </c>
      <c r="E51" s="47">
        <f t="shared" si="14"/>
        <v>45616</v>
      </c>
      <c r="F51" s="47">
        <f t="shared" si="14"/>
        <v>45616</v>
      </c>
      <c r="G51" s="47">
        <f t="shared" si="14"/>
        <v>45616</v>
      </c>
      <c r="H51" s="47">
        <f t="shared" si="14"/>
        <v>45616</v>
      </c>
      <c r="I51" s="47">
        <f t="shared" si="14"/>
        <v>45616</v>
      </c>
      <c r="J51" s="47">
        <f t="shared" si="14"/>
        <v>45616</v>
      </c>
      <c r="K51" s="47">
        <f t="shared" si="14"/>
        <v>45616</v>
      </c>
      <c r="L51" s="47">
        <f t="shared" si="14"/>
        <v>45616</v>
      </c>
      <c r="M51" s="47">
        <f t="shared" si="14"/>
        <v>45616</v>
      </c>
      <c r="N51" s="47"/>
      <c r="O51" s="56"/>
    </row>
    <row r="52" spans="2:15" x14ac:dyDescent="0.15">
      <c r="B52" s="49">
        <v>44958</v>
      </c>
      <c r="C52" s="62">
        <f>'0'!$F$66+'0'!$F$69</f>
        <v>45616</v>
      </c>
      <c r="D52" s="47">
        <f t="shared" si="14"/>
        <v>45616</v>
      </c>
      <c r="E52" s="47">
        <f t="shared" si="14"/>
        <v>45616</v>
      </c>
      <c r="F52" s="47">
        <f t="shared" si="14"/>
        <v>45616</v>
      </c>
      <c r="G52" s="47">
        <f t="shared" si="14"/>
        <v>45616</v>
      </c>
      <c r="H52" s="47">
        <f t="shared" si="14"/>
        <v>45616</v>
      </c>
      <c r="I52" s="47">
        <f t="shared" si="14"/>
        <v>45616</v>
      </c>
      <c r="J52" s="47">
        <f t="shared" si="14"/>
        <v>45616</v>
      </c>
      <c r="K52" s="47">
        <f t="shared" si="14"/>
        <v>45616</v>
      </c>
      <c r="L52" s="47">
        <f t="shared" si="14"/>
        <v>45616</v>
      </c>
      <c r="M52" s="47">
        <f t="shared" si="14"/>
        <v>45616</v>
      </c>
      <c r="N52" s="47">
        <f t="shared" si="14"/>
        <v>45616</v>
      </c>
      <c r="O52" s="56"/>
    </row>
    <row r="53" spans="2:15" ht="14.25" thickBot="1" x14ac:dyDescent="0.2">
      <c r="B53" s="50">
        <v>44986</v>
      </c>
      <c r="C53" s="65">
        <f>'0'!$F$66+'0'!$F$69</f>
        <v>45616</v>
      </c>
      <c r="D53" s="48">
        <f t="shared" si="14"/>
        <v>45616</v>
      </c>
      <c r="E53" s="48">
        <f t="shared" si="14"/>
        <v>45616</v>
      </c>
      <c r="F53" s="48">
        <f t="shared" si="14"/>
        <v>45616</v>
      </c>
      <c r="G53" s="48">
        <f t="shared" si="14"/>
        <v>45616</v>
      </c>
      <c r="H53" s="48">
        <f t="shared" si="14"/>
        <v>45616</v>
      </c>
      <c r="I53" s="48">
        <f t="shared" si="14"/>
        <v>45616</v>
      </c>
      <c r="J53" s="48">
        <f t="shared" si="14"/>
        <v>45616</v>
      </c>
      <c r="K53" s="48">
        <f t="shared" si="14"/>
        <v>45616</v>
      </c>
      <c r="L53" s="48">
        <f t="shared" si="14"/>
        <v>45616</v>
      </c>
      <c r="M53" s="48">
        <f t="shared" si="14"/>
        <v>45616</v>
      </c>
      <c r="N53" s="48">
        <f t="shared" si="14"/>
        <v>45616</v>
      </c>
      <c r="O53" s="48">
        <f t="shared" si="14"/>
        <v>45616</v>
      </c>
    </row>
    <row r="54" spans="2:15" ht="14.25" thickTop="1" x14ac:dyDescent="0.15">
      <c r="B54" s="51" t="s">
        <v>115</v>
      </c>
      <c r="C54" s="66"/>
      <c r="D54" s="60">
        <f t="shared" ref="D54:O54" si="15">SUM(D42:D53)</f>
        <v>547392</v>
      </c>
      <c r="E54" s="60">
        <f t="shared" si="15"/>
        <v>501776</v>
      </c>
      <c r="F54" s="60">
        <f t="shared" si="15"/>
        <v>456160</v>
      </c>
      <c r="G54" s="60">
        <f t="shared" si="15"/>
        <v>410544</v>
      </c>
      <c r="H54" s="60">
        <f t="shared" si="15"/>
        <v>364928</v>
      </c>
      <c r="I54" s="60">
        <f t="shared" si="15"/>
        <v>319312</v>
      </c>
      <c r="J54" s="60">
        <f t="shared" si="15"/>
        <v>273696</v>
      </c>
      <c r="K54" s="60">
        <f t="shared" si="15"/>
        <v>228080</v>
      </c>
      <c r="L54" s="60">
        <f t="shared" si="15"/>
        <v>182464</v>
      </c>
      <c r="M54" s="60">
        <f t="shared" si="15"/>
        <v>136848</v>
      </c>
      <c r="N54" s="60">
        <f t="shared" si="15"/>
        <v>91232</v>
      </c>
      <c r="O54" s="61">
        <f t="shared" si="15"/>
        <v>45616</v>
      </c>
    </row>
    <row r="58" spans="2:15" ht="17.25" x14ac:dyDescent="0.15">
      <c r="B58" s="72" t="s">
        <v>122</v>
      </c>
    </row>
    <row r="59" spans="2:15" x14ac:dyDescent="0.15">
      <c r="B59" s="67" t="s">
        <v>113</v>
      </c>
      <c r="C59" s="68" t="s">
        <v>112</v>
      </c>
      <c r="D59" s="69" t="s">
        <v>99</v>
      </c>
      <c r="E59" s="69" t="s">
        <v>114</v>
      </c>
      <c r="F59" s="70" t="s">
        <v>123</v>
      </c>
    </row>
    <row r="60" spans="2:15" x14ac:dyDescent="0.15">
      <c r="B60" s="52">
        <v>44652</v>
      </c>
      <c r="C60" s="64">
        <f>'0'!$F$60+'0'!$F$63</f>
        <v>45616</v>
      </c>
      <c r="D60" s="53">
        <f t="shared" ref="D60:E65" si="16">ROUND($C60*1/$R8,0)</f>
        <v>45467</v>
      </c>
      <c r="E60" s="53">
        <f t="shared" si="16"/>
        <v>45467</v>
      </c>
      <c r="F60" s="58">
        <f>$C60</f>
        <v>45616</v>
      </c>
    </row>
    <row r="61" spans="2:15" x14ac:dyDescent="0.15">
      <c r="B61" s="49">
        <v>44682</v>
      </c>
      <c r="C61" s="62">
        <f>'0'!$F$60+'0'!$F$63</f>
        <v>45616</v>
      </c>
      <c r="D61" s="47">
        <f t="shared" si="16"/>
        <v>45319</v>
      </c>
      <c r="E61" s="47">
        <f t="shared" si="16"/>
        <v>45319</v>
      </c>
      <c r="F61" s="56">
        <f t="shared" ref="F61:F71" si="17">$C61</f>
        <v>45616</v>
      </c>
    </row>
    <row r="62" spans="2:15" x14ac:dyDescent="0.15">
      <c r="B62" s="49">
        <v>44713</v>
      </c>
      <c r="C62" s="62">
        <f>'0'!$F$60+'0'!$F$63</f>
        <v>45616</v>
      </c>
      <c r="D62" s="47">
        <f t="shared" si="16"/>
        <v>45171</v>
      </c>
      <c r="E62" s="47">
        <f t="shared" si="16"/>
        <v>45171</v>
      </c>
      <c r="F62" s="56">
        <f t="shared" si="17"/>
        <v>45616</v>
      </c>
    </row>
    <row r="63" spans="2:15" x14ac:dyDescent="0.15">
      <c r="B63" s="49">
        <v>44743</v>
      </c>
      <c r="C63" s="62">
        <f>'0'!$F$60+'0'!$F$63</f>
        <v>45616</v>
      </c>
      <c r="D63" s="47">
        <f t="shared" si="16"/>
        <v>45024</v>
      </c>
      <c r="E63" s="47">
        <f t="shared" si="16"/>
        <v>45024</v>
      </c>
      <c r="F63" s="56">
        <f t="shared" si="17"/>
        <v>45616</v>
      </c>
    </row>
    <row r="64" spans="2:15" x14ac:dyDescent="0.15">
      <c r="B64" s="49">
        <v>44774</v>
      </c>
      <c r="C64" s="62">
        <f>'0'!$F$60+'0'!$F$63</f>
        <v>45616</v>
      </c>
      <c r="D64" s="47">
        <f t="shared" si="16"/>
        <v>44877</v>
      </c>
      <c r="E64" s="47">
        <f t="shared" si="16"/>
        <v>44877</v>
      </c>
      <c r="F64" s="56">
        <f t="shared" si="17"/>
        <v>45616</v>
      </c>
    </row>
    <row r="65" spans="2:6" x14ac:dyDescent="0.15">
      <c r="B65" s="54">
        <v>44805</v>
      </c>
      <c r="C65" s="63">
        <f>'0'!$F$60+'0'!$F$63</f>
        <v>45616</v>
      </c>
      <c r="D65" s="55">
        <f t="shared" si="16"/>
        <v>44730</v>
      </c>
      <c r="E65" s="55">
        <f t="shared" si="16"/>
        <v>44730</v>
      </c>
      <c r="F65" s="57">
        <f t="shared" si="17"/>
        <v>45616</v>
      </c>
    </row>
    <row r="66" spans="2:6" x14ac:dyDescent="0.15">
      <c r="B66" s="52">
        <v>44835</v>
      </c>
      <c r="C66" s="64">
        <f>'0'!$F$66+'0'!$F$69</f>
        <v>45616</v>
      </c>
      <c r="D66" s="53">
        <f t="shared" ref="D66:D71" si="18">ROUND($C66*1/$R14,0)</f>
        <v>44584</v>
      </c>
      <c r="E66" s="53">
        <f t="shared" ref="E66:E71" si="19">ROUND($C66*1/$R8,0)</f>
        <v>45467</v>
      </c>
      <c r="F66" s="58">
        <f t="shared" si="17"/>
        <v>45616</v>
      </c>
    </row>
    <row r="67" spans="2:6" x14ac:dyDescent="0.15">
      <c r="B67" s="49">
        <v>44866</v>
      </c>
      <c r="C67" s="62">
        <f>'0'!$F$66+'0'!$F$69</f>
        <v>45616</v>
      </c>
      <c r="D67" s="47">
        <f t="shared" si="18"/>
        <v>44439</v>
      </c>
      <c r="E67" s="47">
        <f t="shared" si="19"/>
        <v>45319</v>
      </c>
      <c r="F67" s="56">
        <f t="shared" si="17"/>
        <v>45616</v>
      </c>
    </row>
    <row r="68" spans="2:6" x14ac:dyDescent="0.15">
      <c r="B68" s="49">
        <v>44896</v>
      </c>
      <c r="C68" s="62">
        <f>'0'!$F$66+'0'!$F$69</f>
        <v>45616</v>
      </c>
      <c r="D68" s="47">
        <f t="shared" si="18"/>
        <v>44294</v>
      </c>
      <c r="E68" s="47">
        <f t="shared" si="19"/>
        <v>45171</v>
      </c>
      <c r="F68" s="56">
        <f t="shared" si="17"/>
        <v>45616</v>
      </c>
    </row>
    <row r="69" spans="2:6" x14ac:dyDescent="0.15">
      <c r="B69" s="49">
        <v>44927</v>
      </c>
      <c r="C69" s="62">
        <f>'0'!$F$66+'0'!$F$69</f>
        <v>45616</v>
      </c>
      <c r="D69" s="47">
        <f t="shared" si="18"/>
        <v>44149</v>
      </c>
      <c r="E69" s="47">
        <f t="shared" si="19"/>
        <v>45024</v>
      </c>
      <c r="F69" s="56">
        <f t="shared" si="17"/>
        <v>45616</v>
      </c>
    </row>
    <row r="70" spans="2:6" x14ac:dyDescent="0.15">
      <c r="B70" s="49">
        <v>44958</v>
      </c>
      <c r="C70" s="62">
        <f>'0'!$F$66+'0'!$F$69</f>
        <v>45616</v>
      </c>
      <c r="D70" s="47">
        <f t="shared" si="18"/>
        <v>44005</v>
      </c>
      <c r="E70" s="47">
        <f t="shared" si="19"/>
        <v>44877</v>
      </c>
      <c r="F70" s="56">
        <f t="shared" si="17"/>
        <v>45616</v>
      </c>
    </row>
    <row r="71" spans="2:6" ht="14.25" thickBot="1" x14ac:dyDescent="0.2">
      <c r="B71" s="50">
        <v>44986</v>
      </c>
      <c r="C71" s="65">
        <f>'0'!$F$66+'0'!$F$69</f>
        <v>45616</v>
      </c>
      <c r="D71" s="48">
        <f t="shared" si="18"/>
        <v>43862</v>
      </c>
      <c r="E71" s="48">
        <f t="shared" si="19"/>
        <v>44730</v>
      </c>
      <c r="F71" s="59">
        <f t="shared" si="17"/>
        <v>45616</v>
      </c>
    </row>
    <row r="72" spans="2:6" ht="14.25" thickTop="1" x14ac:dyDescent="0.15">
      <c r="B72" s="51" t="s">
        <v>115</v>
      </c>
      <c r="C72" s="66"/>
      <c r="D72" s="60">
        <f>SUM(D60:D71)</f>
        <v>535921</v>
      </c>
      <c r="E72" s="60">
        <f>SUM(E60:E71)</f>
        <v>541176</v>
      </c>
      <c r="F72" s="61">
        <f>SUM(F60:F71)</f>
        <v>547392</v>
      </c>
    </row>
  </sheetData>
  <phoneticPr fontId="6"/>
  <pageMargins left="0.7" right="0.7" top="0.75" bottom="0.75" header="0.3" footer="0.3"/>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1</vt:lpstr>
      <vt:lpstr>0</vt:lpstr>
      <vt:lpstr>Sheet2</vt:lpstr>
      <vt:lpstr>'0'!Print_Area</vt:lpstr>
      <vt:lpstr>'1'!Print_Area</vt:lpstr>
      <vt:lpstr>Sheet2!Print_Area</vt:lpstr>
      <vt:lpstr>yn</vt:lpstr>
      <vt:lpstr>年</vt:lpstr>
      <vt:lpstr>年度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2023-01-22T23:54:56Z</dcterms:created>
  <dcterms:modified xsi:type="dcterms:W3CDTF">2026-01-23T05:08:59Z</dcterms:modified>
</cp:coreProperties>
</file>